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777"/>
  </bookViews>
  <sheets>
    <sheet name="Item Details - HP Server" sheetId="1" r:id="rId1"/>
    <sheet name="Server Guidance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<sst xmlns="http://schemas.openxmlformats.org/spreadsheetml/2006/main" count="810" uniqueCount="455">
  <si>
    <t>Line No.</t>
  </si>
  <si>
    <t>Category 1</t>
  </si>
  <si>
    <t>Category 2</t>
  </si>
  <si>
    <t>Category 3</t>
  </si>
  <si>
    <t>Short Informaiton</t>
  </si>
  <si>
    <t>Part Number</t>
  </si>
  <si>
    <t>Product Descriptions/Requirements</t>
  </si>
  <si>
    <t>Variances to specs/comments</t>
  </si>
  <si>
    <t>Qty</t>
  </si>
  <si>
    <t>SERVERS, RACKS &amp; MISC COMMUNICATIONS ROOM</t>
  </si>
  <si>
    <t>Opera Single Server</t>
  </si>
  <si>
    <t xml:space="preserve"> </t>
  </si>
  <si>
    <r>
      <rPr>
        <b/>
        <u/>
        <sz val="12"/>
        <color rgb="FFFF0000"/>
        <rFont val="宋体"/>
        <charset val="134"/>
        <scheme val="minor"/>
      </rPr>
      <t xml:space="preserve">Opera Server will be deployed on a Single Vmware Server for Opera applications only.
This server should not be combined with other server hosts in the same VM
</t>
    </r>
    <r>
      <rPr>
        <b/>
        <sz val="12"/>
        <color rgb="FFFF0000"/>
        <rFont val="宋体"/>
        <charset val="134"/>
        <scheme val="minor"/>
      </rPr>
      <t xml:space="preserve">Deployment Requirements: </t>
    </r>
    <r>
      <rPr>
        <b/>
        <u/>
        <sz val="12"/>
        <color rgb="FFFF0000"/>
        <rFont val="宋体"/>
        <charset val="134"/>
        <scheme val="minor"/>
      </rPr>
      <t xml:space="preserve">
</t>
    </r>
    <r>
      <rPr>
        <sz val="12"/>
        <color rgb="FFFF0000"/>
        <rFont val="宋体"/>
        <charset val="134"/>
        <scheme val="minor"/>
      </rPr>
      <t xml:space="preserve">- 1 x Guest Virtual Machines Win 2008 R2 with </t>
    </r>
    <r>
      <rPr>
        <b/>
        <sz val="12"/>
        <color rgb="FFFF0000"/>
        <rFont val="宋体"/>
        <charset val="134"/>
        <scheme val="minor"/>
      </rPr>
      <t>PMS APPS+DB+OES+OXI</t>
    </r>
    <r>
      <rPr>
        <sz val="12"/>
        <color rgb="FFFF0000"/>
        <rFont val="宋体"/>
        <charset val="134"/>
        <scheme val="minor"/>
      </rPr>
      <t xml:space="preserve"> 
- 1 x Guest Virtual Machines Win 2012 R2 with </t>
    </r>
    <r>
      <rPr>
        <b/>
        <sz val="12"/>
        <color rgb="FFFF0000"/>
        <rFont val="宋体"/>
        <charset val="134"/>
        <scheme val="minor"/>
      </rPr>
      <t xml:space="preserve">IFC8
</t>
    </r>
    <r>
      <rPr>
        <sz val="12"/>
        <color rgb="FFFF0000"/>
        <rFont val="宋体"/>
        <charset val="134"/>
        <scheme val="minor"/>
      </rPr>
      <t>- 1 x Guest Virtual Machines not configured - will be used to configure future upgrades of Opera</t>
    </r>
    <r>
      <rPr>
        <u/>
        <sz val="12"/>
        <color rgb="FFFF0000"/>
        <rFont val="宋体"/>
        <charset val="134"/>
        <scheme val="minor"/>
      </rPr>
      <t xml:space="preserve">
</t>
    </r>
    <r>
      <rPr>
        <b/>
        <u/>
        <sz val="12"/>
        <color rgb="FFFF0000"/>
        <rFont val="宋体"/>
        <charset val="134"/>
        <scheme val="minor"/>
      </rPr>
      <t>Select server size on the number of concurrent workstations connection to Opera.
Option available for a max of 40 / 80 /140 stations.
* Deploy Vmware vSphere 6.5 for Physical Hardware. 
* Deploy Win 2008 R2 as Guest OS (Virtual Machine) for Opera "5.4"
* Single Opera Server with OPERA APPS/DB/OXI</t>
    </r>
  </si>
  <si>
    <t>Please Select Number of Concurrent User</t>
  </si>
  <si>
    <t xml:space="preserve">MEDIUM- 40~80 concurrent users </t>
  </si>
  <si>
    <t>Please Select the Number of ROOM's From the Yellow Color Selection Box</t>
  </si>
  <si>
    <t xml:space="preserve">SMALL -20 concurrent user </t>
  </si>
  <si>
    <t>Product Number</t>
  </si>
  <si>
    <t>DL 20 G10 (Small vSpherel Host for OPERA)</t>
  </si>
  <si>
    <t>Descriptions</t>
  </si>
  <si>
    <t>QTY</t>
  </si>
  <si>
    <t>Hardware</t>
  </si>
  <si>
    <t>Server</t>
  </si>
  <si>
    <t>Server Components</t>
  </si>
  <si>
    <t>P17080-B21</t>
  </si>
  <si>
    <t>HPE ProLiant DL20 Gen10 Performance -  Xeon E-2224 3.4 GHz - 16 GB
Default Components:
CPU-ntel® Xeon® E-2224 (4-Core, 3.4 GHz, 71W)
Memory - 16 GB UDIMM DDR4 2666 MT/s (1 x 16 GB)
Network Controller - HPE embedded 1Gb 2-port 361i network Adapter
Storage Controller -Embedded S100i SW RAID with 4 SATA ports
Hard Drive - None ship standard
Internal Storage - 4 SFF HDD Bays
Power Supply - 500W HPE Redundant Power Supply
Fans - 1 non-hot plug, non-redundant system fan
Management HP iLO Management Engine (standard) &amp; HP Insight Control Standard
Energy Star Meets Energy Star requirements
Form Factor - 1U, HP 1U Short Friction Rail Kit
3-Year Parts, 1-Year Labor, 1-Year Onsite support with next business day response</t>
  </si>
  <si>
    <t>XX1=B21 Worldwide
XX1=291 JAPAN
XX1=AA1 PRC
XX1=371 India</t>
  </si>
  <si>
    <t>879507-B21</t>
  </si>
  <si>
    <t>HPE 16GB (1x16GB) Dual Rank x8 DDR4-2666 CAS-19-19-19 Unbuffered Standard Memory Kit</t>
  </si>
  <si>
    <t>4 x 16GB RAM - Refer to Configuration Doc in SharePoint</t>
  </si>
  <si>
    <t>872475-B21</t>
  </si>
  <si>
    <t>HPE 300GB SAS 12G Enterprise 10K SFF (2.5in) SC 3yr Wty Digitally Signed Firmware HDD</t>
  </si>
  <si>
    <t>RAID 1 (vSphere  operating system)</t>
  </si>
  <si>
    <t>870759-B21</t>
  </si>
  <si>
    <t>HPE 900GB SAS 12G Enterprise 15K SFF (2.5in) SC 3yr Wty Digitally Signed Firmware HDD</t>
  </si>
  <si>
    <t>RAID 5 (DATASTORE) - Refer to Configuration Doc in SharePoint</t>
  </si>
  <si>
    <t>652497-B21</t>
  </si>
  <si>
    <t>HPE Ethernet 1Gb 2-port 361T Adapter</t>
  </si>
  <si>
    <t>701498-B21</t>
  </si>
  <si>
    <t>HPE Mobile USB DVD-RW Optical Drive</t>
  </si>
  <si>
    <t>869081-B21</t>
  </si>
  <si>
    <t>HPE Smart Array P408i-p SR Gen10 (8 Internal Lanes/2GB Cache) 12G SAS PCIe Plug-in Controller</t>
  </si>
  <si>
    <t>782961-B21</t>
  </si>
  <si>
    <t>HPE Smart Array Controller Batteries</t>
  </si>
  <si>
    <t>864279-B21</t>
  </si>
  <si>
    <t>HPE Trust Platform Module (TPM) 2.0</t>
  </si>
  <si>
    <t>Mandatory</t>
  </si>
  <si>
    <t>867998-B21</t>
  </si>
  <si>
    <t>HPE 1U Gen10 Bezel Kit</t>
  </si>
  <si>
    <t>P06716-B21</t>
  </si>
  <si>
    <t>HPE DL20 Gen10 Latch Ear FIO Kit</t>
  </si>
  <si>
    <t>AF556A</t>
  </si>
  <si>
    <t>HPE power cable - 6 ft  (Confirm Correct Voltage for Hotel &amp; PDU)</t>
  </si>
  <si>
    <t>Confirm with local vendor</t>
  </si>
  <si>
    <t>865408-B21</t>
  </si>
  <si>
    <t>HPE 500W Flex Slot Platinum Hot Plug Low Halogen Power Supply Kit</t>
  </si>
  <si>
    <t>Check with local vendor for local power supply standard</t>
  </si>
  <si>
    <t>P06687-B21</t>
  </si>
  <si>
    <t>HPE DL20/ML30 Gen10 M.2/iLO/COM Port Kit</t>
  </si>
  <si>
    <t>E6U64ABE</t>
  </si>
  <si>
    <t>HPE iLO Advanced Electronic License with 3yr Support on iLO Licensed Features</t>
  </si>
  <si>
    <t>HC5V7E</t>
  </si>
  <si>
    <t xml:space="preserve">HPE 5 Year Foundation Care 24x7 DL20 Gen10 Service </t>
  </si>
  <si>
    <t>Hardware Onsite, 4 Hours HW Response, 5 Years, 24 Hrs x 7 Days
https://ssc.hpe.com/portal/site/ssc/details/?serviceProductNumber=HC5V7E</t>
  </si>
  <si>
    <t>Sub-Total</t>
  </si>
  <si>
    <t>SOFTWARE</t>
  </si>
  <si>
    <t>9EM-00681-SLP</t>
  </si>
  <si>
    <t>Windows 2019 Standard Server license - English
** MI parts, 1 unit with 2 cores **</t>
  </si>
  <si>
    <t>Microsoft Windows License can purchase from INSIGHT portal
https://mgscloud.marriott.com/IA/technology/technology-procurement/global-software-purchases/</t>
  </si>
  <si>
    <t>Subtotal - Software</t>
  </si>
  <si>
    <t>LARGE-140 concurrent users</t>
  </si>
  <si>
    <t>DL360 G10 (MEDIUM &amp; LARGE  vSpherel Host for OPERA)</t>
  </si>
  <si>
    <t>P19774-B21</t>
  </si>
  <si>
    <t>HPE ProLiant DL360 Gen10 SMB Network Choice - rack-mountable - Xeon 4208 2.1 GHz - 16 GB
Default Components: 
Processor - (1) Intel® Xeon® Silver 4208 (2.1GHz/8-core/11MB/85W)
Memory - 16 GB RDIMM 2R 2933 MT/s (1x16GB) 
Network Controller - HPE Ethernet 1Gb 4-port 366FLR Adapter plus stand-up card option
Embedded Storage Controller - P408i-a/2GB with Smart Storage Battery (Support RAID 0/1/5/10)
NOTE:
Hard Drive - No Disk 
Internal Storage - 8 SFF HDD Bays
Power Supply - (1) HP 500W Hot Plug Power Supply 
Fans - 5 Hot-plug standard dual rotor redundant fans
Form Factor - Rack (1U)
Rack Mount Kit: HPE 1U Gen10 SFF Easy Install w/o CMA 
Management HPE iLO Management Engine (standard) &amp; HP Insight Control Standard
NOTE:
Warranty - Server Warranty includes 3-Year Parts, 3-Year Labor, 3-Year Onsite support with next business day response</t>
  </si>
  <si>
    <t>P02571-B21</t>
  </si>
  <si>
    <t>HPE DL360 Gen10 Intel Xeon-Silver 4208 (2.1GHz/8-core/85W) FIO Processor Kit</t>
  </si>
  <si>
    <t>2nd Processor</t>
  </si>
  <si>
    <t>P00922-B21</t>
  </si>
  <si>
    <t>HPE 16GB (1x16GB) Dual Rank x8 DDR4-2933 CAS-21-21-21 Registered Smart Memory Kit</t>
  </si>
  <si>
    <t>11 x 16GB RAM For 80 concurrent user (Total 192)
15 x 16GB RAM For 140 concurrent user (Total 256)
Refer to Configuration Doc in SharePoint</t>
  </si>
  <si>
    <t>870753-B21</t>
  </si>
  <si>
    <t>HPE 300GB SAS 12G Enterprise 15K SFF (2.5in) SC 3yr Wty Digitally Signed Firmware HDD</t>
  </si>
  <si>
    <t>RAID 5 (DATASTORE) -Refer to Configuration Doc in SharePoint
VM Guest (OPERA): C:\100GB D:\400GB
VM Guest (IFC): C:\100GB D:\50GB</t>
  </si>
  <si>
    <t>811546-B21</t>
  </si>
  <si>
    <t>HPE Ethernet 1Gb 4-port 366T Adapter</t>
  </si>
  <si>
    <t>HP Trusted Platform Module (TPM) 2.0 G10 Option</t>
  </si>
  <si>
    <t>734811-B21</t>
  </si>
  <si>
    <t>HPE 1U Cable Management Arm for Rail Kit</t>
  </si>
  <si>
    <t>Cable Management Arm</t>
  </si>
  <si>
    <t>872252-B21</t>
  </si>
  <si>
    <t>HPE 1U Gen10 SFF Ball Bearing Rail Kit</t>
  </si>
  <si>
    <t>HPE power cable - 6 ft</t>
  </si>
  <si>
    <t>H8QL8E</t>
  </si>
  <si>
    <t xml:space="preserve">HPE 5 Year Foundation Care 24x7 DL360 Gen10 Service </t>
  </si>
  <si>
    <t>Hardware Onsite, 4 Hours HW Response, 5 Years, 24 Hrs x 7 Days
https://cpc.hpe.com/portal/site/ssc/details/?serviceProductNumber=H8QL8E</t>
  </si>
  <si>
    <t>** PROPER License is required per software installed</t>
  </si>
  <si>
    <t>VS7-ESSL-KIT-C</t>
  </si>
  <si>
    <t>VMware vSphere 7 Essentials Kit for 3 hosts (Max 2 processors per host)</t>
  </si>
  <si>
    <t>VS7-ESSL-5SUB-C</t>
  </si>
  <si>
    <t>Subscription only for VMware vSphere 7 Essentials Kit for 5 years</t>
  </si>
  <si>
    <t>VS7-ESSL-5PAK-C</t>
  </si>
  <si>
    <t>VMware vSphere Essentials Per Incident Support - Email + Phone, 3 incident/ per years (5 Years total 15x)</t>
  </si>
  <si>
    <t>Software</t>
  </si>
  <si>
    <t>Software Operating</t>
  </si>
  <si>
    <r>
      <rPr>
        <sz val="12"/>
        <rFont val="宋体"/>
        <charset val="134"/>
        <scheme val="minor"/>
      </rPr>
      <t xml:space="preserve">Windows 2019 Standard Server license - English
</t>
    </r>
    <r>
      <rPr>
        <b/>
        <sz val="12"/>
        <color rgb="FFFF0000"/>
        <rFont val="宋体"/>
        <charset val="134"/>
        <scheme val="minor"/>
      </rPr>
      <t>** for China, 1 QTY with 16 cores **</t>
    </r>
  </si>
  <si>
    <r>
      <rPr>
        <sz val="12"/>
        <rFont val="宋体"/>
        <charset val="134"/>
        <scheme val="minor"/>
      </rPr>
      <t xml:space="preserve">Microsoft Windows License can purchase from INSIGHT portal
https://mgscloud.marriott.com/IA/technology/technology-procurement/global-software-purchases/
</t>
    </r>
    <r>
      <rPr>
        <b/>
        <sz val="12"/>
        <color rgb="FFFF0000"/>
        <rFont val="宋体"/>
        <charset val="134"/>
        <scheme val="minor"/>
      </rPr>
      <t>Note: This License allowed to deploy 2 Virtual Machine in OPERA VM Physical Host</t>
    </r>
  </si>
  <si>
    <t>SUBTOTAL OPERA SERVER</t>
  </si>
  <si>
    <t>Primary Non-OPERA VM Server</t>
  </si>
  <si>
    <t xml:space="preserve">F&amp;P and other eligible Serves will be deployed on a Single Vmware Server.
This server should not be combined with Opera  server hosts in the same VM
Deployment Requirement: 
- 1 x Guest Virtual Machines Win 2008 R2: OPERA DG
- 1 x Guest Virtual Machines Win 2016 : F&amp;P
- 1 x Guest Virtual Machines Win 2012 R2 : SIMPHONY CAPS 
- 1 x Guest Virtual Machines  Win 2016  : DOORLOCK
*Single Opera GG Server with OPERA APPS/DB/OXI
* A maximum of 4 VM can be hosted on one physical server 
* Deploy Vmware vSphere 6.5 for Physical Hardware. 
* Please purchase SQL license bases on Applications Recuirements:
* 5 CAL will automatically Added by Default
* Additional CAL license need to purchase if more the 5 users connecting
</t>
  </si>
  <si>
    <t>Select Hotel Size</t>
  </si>
  <si>
    <t>Below 600 ROOMS</t>
  </si>
  <si>
    <t xml:space="preserve">Please Select the Server or Service Deploy for VM or Physical </t>
  </si>
  <si>
    <t>Deploy On VM</t>
  </si>
  <si>
    <t>Service Descriptions</t>
  </si>
  <si>
    <t>Deploy on Physical</t>
  </si>
  <si>
    <t>vCenter</t>
  </si>
  <si>
    <t xml:space="preserve">File and Print - (VM ok) Win 2016 </t>
  </si>
  <si>
    <t>Simphony CAPS - (VM Only) Win 2012 R2</t>
  </si>
  <si>
    <r>
      <rPr>
        <sz val="12"/>
        <rFont val="宋体"/>
        <charset val="134"/>
        <scheme val="minor"/>
      </rPr>
      <t xml:space="preserve">Simphony Application Server - </t>
    </r>
    <r>
      <rPr>
        <b/>
        <sz val="12"/>
        <color rgb="FFFF0000"/>
        <rFont val="宋体"/>
        <charset val="134"/>
        <scheme val="minor"/>
      </rPr>
      <t xml:space="preserve">(VM not allowed) Require Physical </t>
    </r>
    <r>
      <rPr>
        <sz val="12"/>
        <rFont val="宋体"/>
        <charset val="134"/>
        <scheme val="minor"/>
      </rPr>
      <t>- Win 2012 R2</t>
    </r>
  </si>
  <si>
    <t>DoorLock - ASSA Abloy (VM ok) Win 2016</t>
  </si>
  <si>
    <t>DoorLock - Saflok (VM ok) Win 2016</t>
  </si>
  <si>
    <t>Call Accounting - FCS( VM ok, SIP only) - Win 2016</t>
  </si>
  <si>
    <r>
      <rPr>
        <sz val="12"/>
        <rFont val="宋体"/>
        <charset val="134"/>
        <scheme val="minor"/>
      </rPr>
      <t>Call Accounting - FCS( With Dialogic Card) -</t>
    </r>
    <r>
      <rPr>
        <b/>
        <sz val="12"/>
        <color rgb="FFFF0000"/>
        <rFont val="宋体"/>
        <charset val="134"/>
        <scheme val="minor"/>
      </rPr>
      <t xml:space="preserve"> (VM not allowed) Require Physical</t>
    </r>
    <r>
      <rPr>
        <sz val="12"/>
        <rFont val="宋体"/>
        <charset val="134"/>
        <scheme val="minor"/>
      </rPr>
      <t xml:space="preserve"> - Win 2016</t>
    </r>
  </si>
  <si>
    <t>Call Accounting -Tiger (VM ok, SIP only) - Win 2016</t>
  </si>
  <si>
    <r>
      <rPr>
        <sz val="12"/>
        <rFont val="宋体"/>
        <charset val="134"/>
        <scheme val="minor"/>
      </rPr>
      <t xml:space="preserve">Call Accounting -Tiger ( With Dialogic Card) - </t>
    </r>
    <r>
      <rPr>
        <b/>
        <sz val="12"/>
        <color rgb="FFFF0000"/>
        <rFont val="宋体"/>
        <charset val="134"/>
        <scheme val="minor"/>
      </rPr>
      <t>(VM not allowed) Require Physical</t>
    </r>
    <r>
      <rPr>
        <sz val="12"/>
        <rFont val="宋体"/>
        <charset val="134"/>
        <scheme val="minor"/>
      </rPr>
      <t xml:space="preserve"> - Win 2016</t>
    </r>
  </si>
  <si>
    <t>Spasoft Application - (VM ok) Win 2016</t>
  </si>
  <si>
    <t>Spasoft Diplomat - (VM ok) Win 2016</t>
  </si>
  <si>
    <t>Book4Time HTNG Interface - (VM ok TBC) Win 2016 TBC</t>
  </si>
  <si>
    <t>KVP (Kunlun VAT Platform) China Only - (VM ok) - Win 2016</t>
  </si>
  <si>
    <t xml:space="preserve">Samsotech Passport Scanner Application - India Only (VMware ok) - Win 2016 </t>
  </si>
  <si>
    <r>
      <rPr>
        <sz val="12"/>
        <rFont val="宋体"/>
        <charset val="134"/>
        <scheme val="minor"/>
      </rPr>
      <t xml:space="preserve">HRMS Payroll Application - </t>
    </r>
    <r>
      <rPr>
        <b/>
        <sz val="12"/>
        <color rgb="FFFF0000"/>
        <rFont val="宋体"/>
        <charset val="134"/>
        <scheme val="minor"/>
      </rPr>
      <t>(VM not allowed) Require Physical</t>
    </r>
    <r>
      <rPr>
        <sz val="12"/>
        <rFont val="宋体"/>
        <charset val="134"/>
        <scheme val="minor"/>
      </rPr>
      <t xml:space="preserve"> - Win 2016 </t>
    </r>
  </si>
  <si>
    <r>
      <rPr>
        <sz val="12"/>
        <rFont val="宋体"/>
        <charset val="134"/>
        <scheme val="minor"/>
      </rPr>
      <t xml:space="preserve">SUN Accounting Application - </t>
    </r>
    <r>
      <rPr>
        <b/>
        <sz val="12"/>
        <color rgb="FFFF0000"/>
        <rFont val="宋体"/>
        <charset val="134"/>
        <scheme val="minor"/>
      </rPr>
      <t>(VM not allow)  Require Physical</t>
    </r>
    <r>
      <rPr>
        <sz val="12"/>
        <rFont val="宋体"/>
        <charset val="134"/>
        <scheme val="minor"/>
      </rPr>
      <t xml:space="preserve"> - Win 2016</t>
    </r>
  </si>
  <si>
    <r>
      <rPr>
        <sz val="12"/>
        <rFont val="宋体"/>
        <charset val="134"/>
        <scheme val="minor"/>
      </rPr>
      <t xml:space="preserve">Active Directory - </t>
    </r>
    <r>
      <rPr>
        <b/>
        <sz val="12"/>
        <color rgb="FFFF0000"/>
        <rFont val="宋体"/>
        <charset val="134"/>
        <scheme val="minor"/>
      </rPr>
      <t xml:space="preserve">(VM not allow)  Require Physical </t>
    </r>
    <r>
      <rPr>
        <sz val="12"/>
        <rFont val="宋体"/>
        <charset val="134"/>
        <scheme val="minor"/>
      </rPr>
      <t xml:space="preserve"> - Win 2016</t>
    </r>
  </si>
  <si>
    <t>Breakfast</t>
  </si>
  <si>
    <t>Other Reduce Spec Server 2 (Please input the APPS Name)</t>
  </si>
  <si>
    <t>Other Reduce Spec Server 3 (Please input the APPS Name)</t>
  </si>
  <si>
    <t>Total Number of Server</t>
  </si>
  <si>
    <t>Medium</t>
  </si>
  <si>
    <t>Large</t>
  </si>
  <si>
    <t>DL360 G10 (VM Server)</t>
  </si>
  <si>
    <t>7x 16GB RAM For &gt; Below 600 Rooms
11 x 16GB RAM For &lt; Above 600 Rooms
Refer to Configuration Documents in SharePoint</t>
  </si>
  <si>
    <t>872479-B21</t>
  </si>
  <si>
    <t>HPE 1.2TB SAS 12G Enterprise 10K SFF (2.5in) SC 3yr Wty Digitally Signed Firmware HDD</t>
  </si>
  <si>
    <t>RAID 5 (DATASTORE) - Refer to Configuration Documents in SharePoint</t>
  </si>
  <si>
    <t>804326-B21</t>
  </si>
  <si>
    <t>HPE Smart Array E208i-a SR Gen10 Ctrlr</t>
  </si>
  <si>
    <r>
      <rPr>
        <b/>
        <sz val="12"/>
        <rFont val="宋体"/>
        <charset val="134"/>
        <scheme val="minor"/>
      </rPr>
      <t>Microsoft Windows License can purchase from "insight" portal</t>
    </r>
    <r>
      <rPr>
        <sz val="12"/>
        <rFont val="宋体"/>
        <charset val="134"/>
        <scheme val="minor"/>
      </rPr>
      <t xml:space="preserve">
https://mgscloud.marriott.com/IA/technology/technology-procurement/global-software-purchases/
</t>
    </r>
    <r>
      <rPr>
        <b/>
        <sz val="12"/>
        <color rgb="FFFF0000"/>
        <rFont val="宋体"/>
        <charset val="134"/>
        <scheme val="minor"/>
      </rPr>
      <t>Note: This Lincese also Cover 4 Virtual Machine Deploy in Physical Exsi Host</t>
    </r>
  </si>
  <si>
    <t>SIMPHONY CAPS ONLY (Only Need if POS Terminal above 40)</t>
  </si>
  <si>
    <t>228-11492-SLP</t>
  </si>
  <si>
    <t>Microsoft SQL Server 2019 Standard - license - 1 license</t>
  </si>
  <si>
    <r>
      <rPr>
        <b/>
        <sz val="12"/>
        <rFont val="宋体"/>
        <charset val="134"/>
        <scheme val="minor"/>
      </rPr>
      <t>Microsot SQL Server Standard License Required if More than 40 POS terminal</t>
    </r>
    <r>
      <rPr>
        <sz val="12"/>
        <rFont val="宋体"/>
        <charset val="134"/>
        <scheme val="minor"/>
      </rPr>
      <t xml:space="preserve">
https://mgscloud.marriott.com/IA/technology/technology-procurement/global-software-purchases/</t>
    </r>
  </si>
  <si>
    <t>359-06895-SLP</t>
  </si>
  <si>
    <t>Microsoft SQL Server 2019 - license - 1 device CAL</t>
  </si>
  <si>
    <r>
      <rPr>
        <b/>
        <sz val="12"/>
        <rFont val="宋体"/>
        <charset val="134"/>
        <scheme val="minor"/>
      </rPr>
      <t xml:space="preserve">Microsoft SQL CAL Required based on number of POS workstations. </t>
    </r>
    <r>
      <rPr>
        <sz val="12"/>
        <rFont val="宋体"/>
        <charset val="134"/>
        <scheme val="minor"/>
      </rPr>
      <t xml:space="preserve">
https://mgscloud.marriott.com/IA/technology/technology-procurement/global-software-purchases/</t>
    </r>
  </si>
  <si>
    <t>FCS CALL ACCOUNTING ONLY</t>
  </si>
  <si>
    <t>Microsot SQL Server Standard License Required for Call Accounting Server
 purchase from INSIGHT portal
https://mgscloud.marriott.com/IA/technology/technology-procurement/global-software-purchases/</t>
  </si>
  <si>
    <t xml:space="preserve"> only can purchase from INSIGHT portal
https://mgscloud.marriott.com/IA/technology/technology-procurement/global-software-purchases/</t>
  </si>
  <si>
    <t>SAMSOTECH PASSPORT SCANNER RELATED</t>
  </si>
  <si>
    <t>Microsot SQL Server Standard License Required for Call Accounting Server
purchase from INSIGHT portal
https://mgscloud.marriott.com/IA/technology/technology-procurement/global-software-purchases/</t>
  </si>
  <si>
    <t>purchase from INSIGHT portal
https://mgscloud.marriott.com/IA/technology/technology-procurement/global-software-purchases/</t>
  </si>
  <si>
    <t>FILE &amp; PRINT RELATED</t>
  </si>
  <si>
    <t>Undelete Server (v. 11) - license - 1 server</t>
  </si>
  <si>
    <t>Diskeeper Server (v. 18) - license - 1 license</t>
  </si>
  <si>
    <t>SUBTOTAL VM-None OPERA SERVER</t>
  </si>
  <si>
    <t>Simphony Application - Physical Server</t>
  </si>
  <si>
    <t>* Deploy  Physical Hardware. 
* Deploy Win2012 R2</t>
  </si>
  <si>
    <t>DL360 G10</t>
  </si>
  <si>
    <t xml:space="preserve">
XX1=B21 Worldwide
XX1=291 JAPAN
XX1=AA1 PRC
XX1=371 India</t>
  </si>
  <si>
    <t>RAID 10( operating system)- Refer to Configuration Documents in SharePoint</t>
  </si>
  <si>
    <t>HP 500W Flex Slot Platinum Hot Plug Low Halogen Power Suppy Kit</t>
  </si>
  <si>
    <r>
      <rPr>
        <sz val="12"/>
        <rFont val="宋体"/>
        <charset val="134"/>
        <scheme val="minor"/>
      </rPr>
      <t xml:space="preserve">Windows 2019 Standard Server license - English
</t>
    </r>
    <r>
      <rPr>
        <b/>
        <sz val="12"/>
        <color rgb="FFFF0000"/>
        <rFont val="宋体"/>
        <charset val="134"/>
        <scheme val="minor"/>
      </rPr>
      <t>** MI parts, 1 QTY with 2 cores **</t>
    </r>
  </si>
  <si>
    <t>Microsoft Windows License only can purchase from INSIGHT portal
https://mgscloud.marriott.com/IA/technology/technology-procurement/global-software-purchases/</t>
  </si>
  <si>
    <t>R18-05795</t>
  </si>
  <si>
    <t>Microsoft Windows Server 2019 - license - 1 device CAL</t>
  </si>
  <si>
    <t>Base on the number of POS workstations</t>
  </si>
  <si>
    <t>Summary</t>
  </si>
  <si>
    <t>Micros POS Software</t>
  </si>
  <si>
    <t>SUBTOTAL SIMPHONY APPLICATION SERVER</t>
  </si>
  <si>
    <t xml:space="preserve">General Reduced Spec Physical Server -Win 2016 </t>
  </si>
  <si>
    <t>* Please purchse SQL license bases on Applications Recuirements:
* 5 CAL will automatically Added by defualt if SQL Standard License Selected
* Additional CAL license need to purchase if more the 5 users connecting</t>
  </si>
  <si>
    <t xml:space="preserve">Status Check </t>
  </si>
  <si>
    <t>DoorLock - Saflok (TBC) Win 2016</t>
  </si>
  <si>
    <r>
      <rPr>
        <sz val="12"/>
        <rFont val="宋体"/>
        <charset val="134"/>
        <scheme val="minor"/>
      </rPr>
      <t xml:space="preserve">Call Accounting - FCS( With Dialogic Card) - </t>
    </r>
    <r>
      <rPr>
        <b/>
        <sz val="12"/>
        <color rgb="FFFF0000"/>
        <rFont val="宋体"/>
        <charset val="134"/>
        <scheme val="minor"/>
      </rPr>
      <t>(VM not allowed) Require Physical</t>
    </r>
    <r>
      <rPr>
        <sz val="12"/>
        <rFont val="宋体"/>
        <charset val="134"/>
        <scheme val="minor"/>
      </rPr>
      <t xml:space="preserve"> - Win 2016</t>
    </r>
  </si>
  <si>
    <t>KVP (Kunlun VAT Platform) China Only - (VM ok) Win 2016</t>
  </si>
  <si>
    <r>
      <rPr>
        <sz val="12"/>
        <rFont val="宋体"/>
        <charset val="134"/>
        <scheme val="minor"/>
      </rPr>
      <t>Samsotec Passport Scanner Application - (VM ok)</t>
    </r>
    <r>
      <rPr>
        <b/>
        <sz val="12"/>
        <rFont val="宋体"/>
        <charset val="134"/>
        <scheme val="minor"/>
      </rPr>
      <t xml:space="preserve"> India only</t>
    </r>
    <r>
      <rPr>
        <sz val="12"/>
        <rFont val="宋体"/>
        <charset val="134"/>
        <scheme val="minor"/>
      </rPr>
      <t xml:space="preserve"> - Win 2016</t>
    </r>
  </si>
  <si>
    <r>
      <rPr>
        <sz val="12"/>
        <rFont val="宋体"/>
        <charset val="134"/>
        <scheme val="minor"/>
      </rPr>
      <t xml:space="preserve">HRMS Payroll Application - </t>
    </r>
    <r>
      <rPr>
        <b/>
        <sz val="12"/>
        <color rgb="FFFF0000"/>
        <rFont val="宋体"/>
        <charset val="134"/>
        <scheme val="minor"/>
      </rPr>
      <t>(VM not allowed) Require Physical</t>
    </r>
    <r>
      <rPr>
        <sz val="12"/>
        <rFont val="宋体"/>
        <charset val="134"/>
        <scheme val="minor"/>
      </rPr>
      <t xml:space="preserve"> - Win 2016 TBC</t>
    </r>
  </si>
  <si>
    <r>
      <rPr>
        <sz val="12"/>
        <rFont val="宋体"/>
        <charset val="134"/>
        <scheme val="minor"/>
      </rPr>
      <t xml:space="preserve">SUN Accounting Application - </t>
    </r>
    <r>
      <rPr>
        <b/>
        <sz val="12"/>
        <color rgb="FFFF0000"/>
        <rFont val="宋体"/>
        <charset val="134"/>
        <scheme val="minor"/>
      </rPr>
      <t>(VM not allow) Require Physical</t>
    </r>
    <r>
      <rPr>
        <sz val="12"/>
        <rFont val="宋体"/>
        <charset val="134"/>
        <scheme val="minor"/>
      </rPr>
      <t xml:space="preserve"> - Win 2016</t>
    </r>
  </si>
  <si>
    <r>
      <rPr>
        <sz val="12"/>
        <rFont val="宋体"/>
        <charset val="134"/>
        <scheme val="minor"/>
      </rPr>
      <t xml:space="preserve">Active Directory - </t>
    </r>
    <r>
      <rPr>
        <b/>
        <sz val="12"/>
        <color rgb="FFFF0000"/>
        <rFont val="宋体"/>
        <charset val="134"/>
        <scheme val="minor"/>
      </rPr>
      <t>(VM not allow) Require Physical</t>
    </r>
    <r>
      <rPr>
        <sz val="12"/>
        <rFont val="宋体"/>
        <charset val="134"/>
        <scheme val="minor"/>
      </rPr>
      <t>- Win 2016</t>
    </r>
  </si>
  <si>
    <t xml:space="preserve">DL20 G10 </t>
  </si>
  <si>
    <t xml:space="preserve">
Only supports Windows 2016
XX1=B21 Worldwide
XX1=291 JAPAN
XX1=AA1 PRC
XX1=371 India</t>
  </si>
  <si>
    <t>HPE 16GB (1x16GB) Dual Rank x8 DDR4-2666 CAS-19-19-19 Registered Smart Memory Kit</t>
  </si>
  <si>
    <t>Select 1 for Domain Controller  Server only (Make the change)</t>
  </si>
  <si>
    <r>
      <rPr>
        <sz val="12"/>
        <rFont val="宋体"/>
        <charset val="134"/>
        <scheme val="minor"/>
      </rPr>
      <t xml:space="preserve">RAID 1 ( operating system) - </t>
    </r>
    <r>
      <rPr>
        <sz val="12"/>
        <color rgb="FFFF0000"/>
        <rFont val="宋体"/>
        <charset val="134"/>
        <scheme val="minor"/>
      </rPr>
      <t>Refer to Configuration Documents in SharePoint</t>
    </r>
    <r>
      <rPr>
        <sz val="12"/>
        <rFont val="宋体"/>
        <charset val="134"/>
        <scheme val="minor"/>
      </rPr>
      <t xml:space="preserve">
C:\100GB D:\200GB</t>
    </r>
  </si>
  <si>
    <t>Just buy 1 x USB DVD drive for Share</t>
  </si>
  <si>
    <t>HPE Smart Array P408i-a SR Gen10 (8 Internal Lanes/2GB Cache) 12G SAS 
Modular LH Controller</t>
  </si>
  <si>
    <t>HPE Trusted Platform Module 2.0 Gen10 Option</t>
  </si>
  <si>
    <t>872108-B21</t>
  </si>
  <si>
    <t>HPE Gen10 TPM 1.2 FIO Setting</t>
  </si>
  <si>
    <t>HP 1.83m 10A C13 Power Cord (Confirm Correct Voltage for Hotel &amp; PDU)</t>
  </si>
  <si>
    <t>HPE DL20/ML30 Gen10 M.2/Dedicated iLO and Serial Port Kit</t>
  </si>
  <si>
    <t>Select 1 each for Door Lock, Domain Controller  only</t>
  </si>
  <si>
    <t>BackupDevice</t>
  </si>
  <si>
    <t>HP StorageWork</t>
  </si>
  <si>
    <t>Select 1 each for for Door Lock, Domain Controller  only</t>
  </si>
  <si>
    <t>Sub Total</t>
  </si>
  <si>
    <t>Server Rack</t>
  </si>
  <si>
    <t>Rack Component</t>
  </si>
  <si>
    <t>KVM</t>
  </si>
  <si>
    <t>Microsot SQL Server Standard License Required for Passport Scanner  Server
can purchase from INSIGHT portal
https://mgscloud.marriott.com/IA/technology/technology-procurement/global-software-purchases/</t>
  </si>
  <si>
    <t xml:space="preserve"> can purchase from INSIGHT portal
https://mgscloud.marriott.com/IA/technology/technology-procurement/global-software-purchases/</t>
  </si>
  <si>
    <t>HRMS RELATED</t>
  </si>
  <si>
    <t>Microsot SQL Server Standard License Required for Sunl Accounting Server
  can purchase from INSIGHT portal
https://mgscloud.marriott.com/IA/technology/technology-procurement/global-software-purchases/</t>
  </si>
  <si>
    <t>can purchase from INSIGHT portal
https://mgscloud.marriott.com/IA/technology/technology-procurement/global-software-purchases/</t>
  </si>
  <si>
    <t xml:space="preserve">SUN ACCOUNTING RELATED </t>
  </si>
  <si>
    <t>SUBTOTAL GENERAL REDUCED SERVER</t>
  </si>
  <si>
    <t xml:space="preserve">Physical Backup Server </t>
  </si>
  <si>
    <t xml:space="preserve">Option A: 
- Deploy ML 30 G10 Server as Backup Server if Property Running File &amp; Print Server in VM
- Select 1 of the Tape Drive hardware base on the Backup Data Size in Option 2 Tape Drive list
- Deploy Windows 2016 Standard and Backup Exec 20.x above. 
Option B: 
- Purchase Tape Drive only if you Deploy Physical File and Print Server.
Note: No Auto Loader Allow. </t>
  </si>
  <si>
    <t>ML30 G10</t>
  </si>
  <si>
    <t>P16930-B21</t>
  </si>
  <si>
    <t>HPE ProLiant ML30 Gen10 Performance - tower - Xeon E-2224 3.4 GHz - 16 GB
Default Components:
CPU-ntel® Xeon® E-2224 (4-Core, 3.4 GHz, 71W)
Memory - 16 GB UDIMM DDR4 2666 MT/s (1 x 16 GB)
Network Controller - Embedded 2-Port 1GbE HPE Ethernet 332i Adapter
Storage Controller -Embedded S100i SW RAID with 4 SATA ports
Hard Drive - None ship standard
Internal Storage - 8 SFF HDD Bays
Power Supply - 500W HPE Flex Slot Power Supply
Fans - 1 non-hot plug, non-redundant system fan
Management HP iLO Management Engine (standard) &amp; HP Insight Control Standard
Energy Star Meets Energy Star requirements
Form Factor Tower (4U) 
3-Year Parts, 1-Year Labor, 1-Year Onsite support with next business day response</t>
  </si>
  <si>
    <t>RAID 1</t>
  </si>
  <si>
    <t>RAID 5</t>
  </si>
  <si>
    <t>726536-B21</t>
  </si>
  <si>
    <t>HPE 9.5mm SATA DVD-ROM Optical Drive</t>
  </si>
  <si>
    <t>786710-B21</t>
  </si>
  <si>
    <t>HPE RAID adapter battery holder</t>
  </si>
  <si>
    <t>P01366-B21</t>
  </si>
  <si>
    <t>Performance RAID Controllers require the HPE Smart Storage Battery</t>
  </si>
  <si>
    <t>P06307-B21</t>
  </si>
  <si>
    <t>HPE ML30 Gen10 Mini SAS Cable Kit</t>
  </si>
  <si>
    <t>P06309-B21</t>
  </si>
  <si>
    <t>The HPE ML30 Gen10 Slim Optical Disk Drive Enablement Kit</t>
  </si>
  <si>
    <t>830824-B21</t>
  </si>
  <si>
    <t>HC6E4E</t>
  </si>
  <si>
    <t>HPE 5 Year Foundation Care 24x7 ML30 Gen10 Service</t>
  </si>
  <si>
    <t>Hardware Onsite, 4 Hours HW Response, 5 Years, 24 Hrs x 7 Days
https://ssc.hpe.com/portal/site/ssc/details/?serviceProductNumber=H9GM3E</t>
  </si>
  <si>
    <t>Subtotal - Hardware</t>
  </si>
  <si>
    <t xml:space="preserve">SOFTWARE </t>
  </si>
  <si>
    <t>BC4P1A</t>
  </si>
  <si>
    <t xml:space="preserve">SCOOTER SOFTWARE BEYOND COMPARE 4 MULTI PLAT PRO ED PER SEAT 1-4U </t>
  </si>
  <si>
    <t>For Backup Software, please only Choose 1 option. Recomemded to use Veeam Bakcup &amp; Replication if you have vSPhere ESXI</t>
  </si>
  <si>
    <t xml:space="preserve">BACKUP SOFTWARE Option 1: Veeam backup &amp; Replication </t>
  </si>
  <si>
    <t>V-VBRVUL-0I-SU5YP-VSPC-MA (GC)</t>
  </si>
  <si>
    <t>Veeam企业增强版、5年订阅服务、可支持10台虚拟机备份服务，提供统一运维支持平台，通过该平台可以为多站点Veeam环境提供远程配置、管理和监控服务,可以基于AI的驱动型基础架构监控和诊断,可提供云备份或者灾难恢复即服务</t>
  </si>
  <si>
    <t>Minimum Purchase of 1 QTY can backup for 10 Servers
五年7*24级别的版本升级、补丁更新、原厂电话（400 990 94 44）支持、Web门户（https://www.veeam.com/support.html）支持、原厂知识库服务</t>
  </si>
  <si>
    <t>BACKUP SOFTWARE Option 2: Backup Exec</t>
  </si>
  <si>
    <t>13670-M0032
13670-M0020</t>
  </si>
  <si>
    <r>
      <rPr>
        <sz val="12"/>
        <rFont val="宋体"/>
        <charset val="134"/>
        <scheme val="minor"/>
      </rPr>
      <t>BACKUP EXEC SERVER ED WIN 1 SERVER ONPREMISE STANDARD LICENSE + ESSENTIAL
MAINTENANCE BUNDLE INITIAL</t>
    </r>
    <r>
      <rPr>
        <sz val="12"/>
        <color rgb="FFFF0000"/>
        <rFont val="宋体"/>
        <charset val="134"/>
        <scheme val="minor"/>
      </rPr>
      <t xml:space="preserve"> 36MO </t>
    </r>
    <r>
      <rPr>
        <sz val="12"/>
        <rFont val="宋体"/>
        <charset val="134"/>
        <scheme val="minor"/>
      </rPr>
      <t xml:space="preserve">CORPORATE
BACKUP EXEC SERVER ED WIN 1 SERVER ONPREMISE STANDARD LICENSE + ESSENTIAL
MAINTENANCE BUNDLE INITIAL </t>
    </r>
    <r>
      <rPr>
        <sz val="12"/>
        <color rgb="FFFF0000"/>
        <rFont val="宋体"/>
        <charset val="134"/>
        <scheme val="minor"/>
      </rPr>
      <t>24MO</t>
    </r>
    <r>
      <rPr>
        <sz val="12"/>
        <rFont val="宋体"/>
        <charset val="134"/>
        <scheme val="minor"/>
      </rPr>
      <t xml:space="preserve"> CORPORATE</t>
    </r>
  </si>
  <si>
    <t>Based Backup &amp; Management software (Total 5 years)</t>
  </si>
  <si>
    <t xml:space="preserve">13131-M0032
13131-M0020 </t>
  </si>
  <si>
    <r>
      <rPr>
        <sz val="12"/>
        <rFont val="宋体"/>
        <charset val="134"/>
        <scheme val="minor"/>
      </rPr>
      <t xml:space="preserve">BACKUP EXEC AGENT FOR WIN 1 SERVER ONPREMISE STANDARD LICENSE + ESSENTIAL
MAINTENANCE BUNDLE INITIAL </t>
    </r>
    <r>
      <rPr>
        <sz val="12"/>
        <color rgb="FFFF0000"/>
        <rFont val="宋体"/>
        <charset val="134"/>
        <scheme val="minor"/>
      </rPr>
      <t xml:space="preserve">36MO </t>
    </r>
    <r>
      <rPr>
        <sz val="12"/>
        <rFont val="宋体"/>
        <charset val="134"/>
        <scheme val="minor"/>
      </rPr>
      <t xml:space="preserve">CORPORATE
BACKUP EXEC AGENT FOR WIN 1 SERVER ONPREMISE STANDARD LICENSE + ESSENTIAL
MAINTENANCE BUNDLE INITIAL </t>
    </r>
    <r>
      <rPr>
        <sz val="12"/>
        <color rgb="FFFF0000"/>
        <rFont val="宋体"/>
        <charset val="134"/>
        <scheme val="minor"/>
      </rPr>
      <t>24MO</t>
    </r>
    <r>
      <rPr>
        <sz val="12"/>
        <rFont val="宋体"/>
        <charset val="134"/>
        <scheme val="minor"/>
      </rPr>
      <t xml:space="preserve"> CORPORATE</t>
    </r>
  </si>
  <si>
    <t>Data protection for remote Windows servers and includes Open File. Each VM require Agent License (Total 5 years)</t>
  </si>
  <si>
    <t>13112-M0032
13112-M0020</t>
  </si>
  <si>
    <r>
      <rPr>
        <sz val="12"/>
        <rFont val="宋体"/>
        <charset val="134"/>
        <scheme val="minor"/>
      </rPr>
      <t xml:space="preserve">BACKUP EXEC AGENT FOR APPLICATIONS AND DBS WIN 1 SERVER ONPREMISE STANDARD
LICENSE + ESSENTIAL MAINTENANCE BUNDLE INITIAL </t>
    </r>
    <r>
      <rPr>
        <sz val="12"/>
        <color rgb="FFFF0000"/>
        <rFont val="宋体"/>
        <charset val="134"/>
        <scheme val="minor"/>
      </rPr>
      <t>36MO</t>
    </r>
    <r>
      <rPr>
        <sz val="12"/>
        <rFont val="宋体"/>
        <charset val="134"/>
        <scheme val="minor"/>
      </rPr>
      <t xml:space="preserve"> CORPORATE
BACKUP EXEC AGENT FOR APPLICATIONS AND DBS WIN 1 SERVER ONPREMISE STANDARD
LICENSE + ESSENTIAL MAINTENANCE BUNDLE INITIAL </t>
    </r>
    <r>
      <rPr>
        <sz val="12"/>
        <color rgb="FFFF0000"/>
        <rFont val="宋体"/>
        <charset val="134"/>
        <scheme val="minor"/>
      </rPr>
      <t>24MO</t>
    </r>
    <r>
      <rPr>
        <sz val="12"/>
        <rFont val="宋体"/>
        <charset val="134"/>
        <scheme val="minor"/>
      </rPr>
      <t xml:space="preserve"> CORPORATE </t>
    </r>
  </si>
  <si>
    <t>Data protection for Exchange, SQL, SharePoint, Active Directory and Oracle in a virtual or physical environment. Each VM require Agent License (Total 5 years)</t>
  </si>
  <si>
    <t xml:space="preserve">10931-M0032
10931-M0020 </t>
  </si>
  <si>
    <r>
      <rPr>
        <sz val="12"/>
        <rFont val="宋体"/>
        <charset val="134"/>
        <scheme val="minor"/>
      </rPr>
      <t xml:space="preserve">BACKUP EXEC AGENT FOR VMWARE AND HYPER-V WIN 1 HOST SERVER ONPREMISE
STANDARD LICENSE + ESSENTIAL MAINTENANCE BUNDLE INITIAL </t>
    </r>
    <r>
      <rPr>
        <sz val="12"/>
        <color rgb="FFFF0000"/>
        <rFont val="宋体"/>
        <charset val="134"/>
        <scheme val="minor"/>
      </rPr>
      <t>36MO</t>
    </r>
    <r>
      <rPr>
        <sz val="12"/>
        <rFont val="宋体"/>
        <charset val="134"/>
        <scheme val="minor"/>
      </rPr>
      <t xml:space="preserve"> CORPORATE
BACKUP EXEC AGENT FOR VMWARE AND HYPER-V WIN 1 HOST SERVER ONPREMISE
STANDARD LICENSE + ESSENTIAL MAINTENANCE BUNDLE INITIAL </t>
    </r>
    <r>
      <rPr>
        <sz val="12"/>
        <color rgb="FFFF0000"/>
        <rFont val="宋体"/>
        <charset val="134"/>
        <scheme val="minor"/>
      </rPr>
      <t>24MO</t>
    </r>
    <r>
      <rPr>
        <sz val="12"/>
        <rFont val="宋体"/>
        <charset val="134"/>
        <scheme val="minor"/>
      </rPr>
      <t xml:space="preserve"> CORPORATE</t>
    </r>
  </si>
  <si>
    <t>Data protection for Virtual Machine's Deployed in vSphere or Hyper-V.
(Note: Backup Agent for Application and Database need to purtchase Seperately for Any VM running Microsoft Application and Database) (Total 5 years)</t>
  </si>
  <si>
    <t>Voicemail Software</t>
  </si>
  <si>
    <t>BACKUP DEVICE Option #1 - 15TB compressed</t>
  </si>
  <si>
    <t xml:space="preserve"> Ultrium 15000 LTO-7 EXTERNAL HALF HEIGHT (&gt;800Gb)</t>
  </si>
  <si>
    <t xml:space="preserve">BB874A
</t>
  </si>
  <si>
    <t>HPE StoreEver LTO-7 Ultrium 15000 External Tape Drive</t>
  </si>
  <si>
    <t>804398-B21</t>
  </si>
  <si>
    <t>HPE Smart Array E208e-p SR Gen10 (8 External Lanes/No Cache) 12G SAS PCIe Plug-in Controller</t>
  </si>
  <si>
    <t>For connection to G10 server only</t>
  </si>
  <si>
    <t>716191-B21</t>
  </si>
  <si>
    <t>HPE 2.0m External Mini SAS High Density to Mini SAS Cable</t>
  </si>
  <si>
    <t>cable to connect HPE SAS external LTO tape devices to HPE SAS controllers with external Mini-SAS high density connectors as used by HPE E208e-p or H241 Host Bus Adapters</t>
  </si>
  <si>
    <t>C7977AN</t>
  </si>
  <si>
    <t>HPE LTO-7 Ultrium Non Custom Labeled Data Cartridge 20 Pack</t>
  </si>
  <si>
    <t>At least 14 tapes for 2 weeks rotation of backup tape</t>
  </si>
  <si>
    <t>C7978A</t>
  </si>
  <si>
    <t>HP Ultrium Universal Cleaning Cartridge</t>
  </si>
  <si>
    <t xml:space="preserve">	H1FY5E</t>
  </si>
  <si>
    <t>HPE 5Y FC 24x7 External LTO Drives SVC</t>
  </si>
  <si>
    <t>SUBTOTAL BACKUP DEVICE Op#1</t>
  </si>
  <si>
    <t>BACKUP DEVICE Option #2 - 30TB compressed</t>
  </si>
  <si>
    <t>Ultrium 30750 LTO-8 - EXTERNAL HALF HEIGHT (&gt;800Gb)</t>
  </si>
  <si>
    <t>BC023A</t>
  </si>
  <si>
    <t>HPE StoreEver LTO-8 Ultrium 30750 External Tape Drive</t>
  </si>
  <si>
    <t>For connection to a G10 server only</t>
  </si>
  <si>
    <t>Q2078AN</t>
  </si>
  <si>
    <t>HPE LTO-8 Ultrium 30 TB RW 20 Data Cartridges Non Custom Labeled with Cases</t>
  </si>
  <si>
    <t>HPE Ultrium Universal Cleaning Cartridge</t>
  </si>
  <si>
    <t>HS129E</t>
  </si>
  <si>
    <t>SUBTOTAL BACKUP DEVICE Op#2</t>
  </si>
  <si>
    <t>GRAND TOTAL - BACKUP HARDWARE</t>
  </si>
  <si>
    <t>CALL ACCOUNTING and VOICEMAIL **HP Poliant ML350 G10** (&gt; 400 Rooms)</t>
  </si>
  <si>
    <t>Notes: For Analog version which needs full length for Dialogic Card</t>
  </si>
  <si>
    <t>ML350 G10</t>
  </si>
  <si>
    <t>P11051-xxx</t>
  </si>
  <si>
    <r>
      <rPr>
        <sz val="12"/>
        <rFont val="宋体"/>
        <charset val="134"/>
        <scheme val="minor"/>
      </rPr>
      <t xml:space="preserve">HPE ProLiant ML350 Gen10 Base - tower - Xeon Silver 4210 2.2 GHz - 16 GB
Default Components:
Processor Intel® Xeon® Silver 4210 (2.2GHz/10-Core/85W) 
Memory - 16 GB RDIMM SR 2933 MT/s (1 x 16GB)
Network Controller - Embedded 4-Port 1GbE HPE Ethernet 1Gb 4-port 369i Adapter
Storage Controller - </t>
    </r>
    <r>
      <rPr>
        <b/>
        <sz val="12"/>
        <rFont val="宋体"/>
        <charset val="134"/>
        <scheme val="minor"/>
      </rPr>
      <t xml:space="preserve">HPE Smart Array P408i-a SR Gen10 (8 Internal Lanes/2GB Cache) 12G SAS Modular Controller
Smart Storage: </t>
    </r>
    <r>
      <rPr>
        <sz val="12"/>
        <rFont val="宋体"/>
        <charset val="134"/>
        <scheme val="minor"/>
      </rPr>
      <t xml:space="preserve">
Hard Drive - None ship standard
Internal Storage - 8 SFF HDD Bays (Hot Plug)
Power Supply - HPE 800W Flex slot Power Supply 
Fans - 6 standard fans
Management HP iLO Management Engine (standard) &amp; HP Insight Control Standard
Energy Star Meets Energy Star requirements
Form Factor Rack (4U) 
Default Warranty Server Warranty includes 3-Year Parts, 3-Year Labor, 3-Year Onsite support with next business day response</t>
    </r>
  </si>
  <si>
    <t>* Only support Windows 2012R2 and 2016
* Three (3) height/full length PCI slots.
XX1=B21 Worldwide
XX1=291 JAPAN
XX1=AA1 PRC
XX1=371 India</t>
  </si>
  <si>
    <t>870757-B21</t>
  </si>
  <si>
    <t>HPE 600GB SAS 12G Enterprise 15K SFF (2.5in) SC 3yr Wty Digitally Signed Firmware HDD</t>
  </si>
  <si>
    <t>RAID 1 ( operating system) -Refer to Configuration Documents in SharePoint
C:\100GB D:\500GB</t>
  </si>
  <si>
    <t>726537-B21</t>
  </si>
  <si>
    <t>HPE 9.5mm SATA DVD-RW Optical Drive</t>
  </si>
  <si>
    <t>874577-B21</t>
  </si>
  <si>
    <t>HPE ML350 Gen10 Slimline ODD Bay and Support Cable Ki</t>
  </si>
  <si>
    <t>874572-B21</t>
  </si>
  <si>
    <t>HPE ML350 Gen10 Redundant Fan Cage Kit</t>
  </si>
  <si>
    <t>874578-B21</t>
  </si>
  <si>
    <t>ML Gen10 Tower to Rack Conversion Kit with Sliding Rail Rack Shelf and 
Cable Management Arm</t>
  </si>
  <si>
    <t>865428-B21</t>
  </si>
  <si>
    <t>HPE 800W Flex Slot Universal Hot Plug Low Halogen Power Supply Ki</t>
  </si>
  <si>
    <t>HP Trusted Platform Module Option Kit</t>
  </si>
  <si>
    <t>H9GM3E</t>
  </si>
  <si>
    <t xml:space="preserve">HPE 5 Year Foundation Care 24x7 ML350 Gen10 Service </t>
  </si>
  <si>
    <t>Desktop</t>
  </si>
  <si>
    <t>Voice Mail Software</t>
  </si>
  <si>
    <t>Microsot SQL Server Standard License Required for Call Accounting Server
 only can purchase from INSIGHT portal
https://mgscloud.marriott.com/IA/technology/technology-procurement/global-software-purchases/</t>
  </si>
  <si>
    <t xml:space="preserve">SUBTOTAL VOICEMAIL </t>
  </si>
  <si>
    <t>SERVER RACKS HARDWARE</t>
  </si>
  <si>
    <t>SERVER RACKS</t>
  </si>
  <si>
    <t>P9K07A</t>
  </si>
  <si>
    <t>HPE 42U 600mmx1075mm G2 Kitted Advanced Pallet Rack with Side Panels and Baying</t>
  </si>
  <si>
    <t>Dimension (HxWxD): 2030 x 600 x1075 mm</t>
  </si>
  <si>
    <t>BW928A</t>
  </si>
  <si>
    <t>1U Universal FIller Panel kit (10 panels)</t>
  </si>
  <si>
    <t>Buy 2 Per Rack</t>
  </si>
  <si>
    <t>253449-B21</t>
  </si>
  <si>
    <t>Hewlett Packard Utility Shelf</t>
  </si>
  <si>
    <t>For VPN Router, Equinox IFC Box and Backup Device</t>
  </si>
  <si>
    <t>168233-B21</t>
  </si>
  <si>
    <t>Cable Management "D" Rings Kit</t>
  </si>
  <si>
    <t>Vertical Side Rings only</t>
  </si>
  <si>
    <t>248929-B21</t>
  </si>
  <si>
    <t>Rack Coupling Kit (Carbon)</t>
  </si>
  <si>
    <t>The coupling kit is used to join two or more 10000 G2 series racks of the same height together in minutes to create a multi-bay configuration.</t>
  </si>
  <si>
    <t>KEYBOARD &amp; MONITOR
(choose between option 1 or option 2)</t>
  </si>
  <si>
    <t>The TFT7600 Rack mount Keyboard and Monitor combines a full 17 inch WXGA+ monitor and keyboard with touch pad in a 1U format with room to mount an HP KVM Switch behind it. The TFT7600 RKM includes a three button touch pad, 4 scroll keys, and Windows shortcut keys.</t>
  </si>
  <si>
    <t xml:space="preserve"> AF642A</t>
  </si>
  <si>
    <t>HPE LCD8500 1U JP Rackmount Console Kit</t>
  </si>
  <si>
    <t>Japan Only</t>
  </si>
  <si>
    <t>AF644A</t>
  </si>
  <si>
    <t>HP LCD 8500 1U Console INTL Kit</t>
  </si>
  <si>
    <t>International</t>
  </si>
  <si>
    <t>KVM CONSOLE SWITCH</t>
  </si>
  <si>
    <t>The Server Console Switch provides local keyboard, video and mouse (KVM) access to up to 8 or 16 attached servers. It uses Cat5 twisted pair cables to reduce bulking cabling and supports both PS/2 and USB connected servers with Interface Adapters.</t>
  </si>
  <si>
    <t>AF651A</t>
  </si>
  <si>
    <t>HP Server Console Switch Box (1 x 8 Server Console Switch)</t>
  </si>
  <si>
    <t>8 port KVM Switch (less than 8 servers select this)</t>
  </si>
  <si>
    <t>AF652A</t>
  </si>
  <si>
    <t>HP Server Console Switch Box (1 x 16 Server Console Switch)</t>
  </si>
  <si>
    <t>16 port KVM Switch (more than 8 servers select this)</t>
  </si>
  <si>
    <t>263474-B22</t>
  </si>
  <si>
    <t>CAT5e Cables -  6 Foot (2 m) - 8 pack</t>
  </si>
  <si>
    <t>Buy 2 if more than 8 servers (8 Cables/Box)</t>
  </si>
  <si>
    <t>AF628A</t>
  </si>
  <si>
    <t>KVM Interface Adapters and Cables (USB Interface Adapter Single Pack)</t>
  </si>
  <si>
    <t>Buy for each server - move to USB adaptor</t>
  </si>
  <si>
    <t>POWER DISTRIBUTION</t>
  </si>
  <si>
    <t>P9Q66A</t>
  </si>
  <si>
    <t>HPE G2 IEC C20 Input/(8) C13 Expansion Outlets/PDU Extension Bar Kit</t>
  </si>
  <si>
    <t>At least 4 units per server rack</t>
  </si>
  <si>
    <t xml:space="preserve">
P9Q36A</t>
  </si>
  <si>
    <t>HPE G2 Basic Modular 3.6kVA/IEC C20 Detachable 16A/100-240V Outlets (2) C19/1U Horizontal WW PDU</t>
  </si>
  <si>
    <t>Buy 2 per rack, 1 to UPS &amp; 1 to Direct Net
Connects to UPS R3000XR
Output Connections: (16) IEC 320 C-13</t>
  </si>
  <si>
    <t xml:space="preserve">
P9Q43A </t>
  </si>
  <si>
    <t>HPE G2 Basic Modular 7.3kVA/60309 3-Wire 32A/230V Outlets (6) C19/1U Horizontal INTL PDU</t>
  </si>
  <si>
    <t>Buy 1 per rack, 1 to UPS
Connects to UPS R5500XR
Output Connections: (32) IEC 320 C-13</t>
  </si>
  <si>
    <t>142257-007</t>
  </si>
  <si>
    <t>High Voltage  Cable - 10A, IEC320 -C14 to IEC 320 -C13 cables  - 4.5 ft (1.37 m), x15 Pack</t>
  </si>
  <si>
    <t>for PDU - Computer</t>
  </si>
  <si>
    <t>142257-002</t>
  </si>
  <si>
    <t>High Voltage  Cable - 10A, IEC320 -C14 to IEC 320 -C13 cables  - 8 ft (2.5 m), single Cable</t>
  </si>
  <si>
    <r>
      <rPr>
        <b/>
        <strike/>
        <sz val="12"/>
        <rFont val="宋体"/>
        <charset val="134"/>
        <scheme val="minor"/>
      </rPr>
      <t xml:space="preserve">
</t>
    </r>
    <r>
      <rPr>
        <b/>
        <sz val="12"/>
        <rFont val="宋体"/>
        <charset val="134"/>
        <scheme val="minor"/>
      </rPr>
      <t>P9Q33A</t>
    </r>
  </si>
  <si>
    <t>HPE G2 Basic Modular 2.8kVA/L5-30P 24A/120V Outlets (6) IEC C19/1U Horizontal NA/JP PDU</t>
  </si>
  <si>
    <t>Buy 1 per rack, 1 to UPS
Connects to UPS R3000XR
Output Connections: (32) NEMA 5-15R</t>
  </si>
  <si>
    <t>UPS</t>
  </si>
  <si>
    <t>AF461A</t>
  </si>
  <si>
    <t>HPE R5000 3U IEC309-32A High Voltage INTL Uninterruptible Power System</t>
  </si>
  <si>
    <r>
      <rPr>
        <sz val="12"/>
        <color indexed="10"/>
        <rFont val="宋体"/>
        <charset val="134"/>
        <scheme val="minor"/>
      </rPr>
      <t>For property more than 350 rooms, get this one</t>
    </r>
    <r>
      <rPr>
        <sz val="12"/>
        <rFont val="宋体"/>
        <charset val="134"/>
        <scheme val="minor"/>
      </rPr>
      <t xml:space="preserve">
Power cord with A IEC-309 plug (INTL) Requires 32 A IEC-309 receptacle (INTL) to be installed</t>
    </r>
  </si>
  <si>
    <t>Q7G14A</t>
  </si>
  <si>
    <t>HPE G2 R5000/6000 3U Rackmount WW Extended Runtime Module</t>
  </si>
  <si>
    <t>Configuration Note: Use the UPS 5500XR with 1 Extended Run Time Module to get 45 Minutes Standby time on a Full Cluster Server load.</t>
  </si>
  <si>
    <r>
      <rPr>
        <b/>
        <u/>
        <sz val="12"/>
        <rFont val="宋体"/>
        <charset val="134"/>
        <scheme val="minor"/>
      </rPr>
      <t>Any</t>
    </r>
    <r>
      <rPr>
        <b/>
        <sz val="12"/>
        <rFont val="宋体"/>
        <charset val="134"/>
        <scheme val="minor"/>
      </rPr>
      <t xml:space="preserve"> other rack components required to suit this configuration - to be documented by vendor and detailed rackbuilder diagram to be attached with response.</t>
    </r>
  </si>
  <si>
    <t>http://h18004.www1.hp.com/products/servers/proliantstorage/power-protection/power-distribution/modular_pdu/benefits.html</t>
  </si>
  <si>
    <t>as required</t>
  </si>
  <si>
    <t>SUBTOTAL SERVER RACKS</t>
  </si>
  <si>
    <t>MISC. COMMUNICATION ROOM</t>
  </si>
  <si>
    <t>UPS Component</t>
  </si>
  <si>
    <t>BK500EI</t>
  </si>
  <si>
    <t>APC Back-UPS RS 500VA</t>
  </si>
  <si>
    <t>For Desktops/Micros POS/Digital Signage (Total Unit accordit to devices)</t>
  </si>
  <si>
    <t xml:space="preserve">SRT10KRMXLI
</t>
  </si>
  <si>
    <t>APC Smart-UPS SRT 10000VA RM 230V. Input 230V/Output 230V, Interface Port(s) RJ-45 10/100 Base-T, RJ-45 Serial, Smart-Slot, USB. Rack Height 6U</t>
  </si>
  <si>
    <t>For property less than 350 rooms, get this one
Dimension (HxWxD): 263 x 432 x 715 (mm)</t>
  </si>
  <si>
    <t>Other</t>
  </si>
  <si>
    <t>PT-D600</t>
  </si>
  <si>
    <t xml:space="preserve">Brother® P-Touch Electronic Label Machine </t>
  </si>
  <si>
    <t>Label maker for Brother P-Touch Electronic Label Machine</t>
  </si>
  <si>
    <t>(Black &amp; White) 50 Rolls</t>
  </si>
  <si>
    <t>Desktop Component</t>
  </si>
  <si>
    <t>Sony DVD-RW disks (Multi Speed)</t>
  </si>
  <si>
    <t>Optional - Pack of 20 disks</t>
  </si>
  <si>
    <t>SUBTOTAL MISC</t>
  </si>
  <si>
    <t>Background Music</t>
  </si>
  <si>
    <r>
      <rPr>
        <sz val="12"/>
        <color rgb="FF000000"/>
        <rFont val="宋体"/>
        <charset val="134"/>
        <scheme val="minor"/>
      </rPr>
      <t xml:space="preserve">31V03PC - </t>
    </r>
    <r>
      <rPr>
        <b/>
        <sz val="12"/>
        <color rgb="FF000000"/>
        <rFont val="宋体"/>
        <charset val="134"/>
        <scheme val="minor"/>
      </rPr>
      <t>China Only</t>
    </r>
  </si>
  <si>
    <r>
      <rPr>
        <b/>
        <sz val="12"/>
        <rFont val="宋体"/>
        <charset val="134"/>
        <scheme val="minor"/>
      </rPr>
      <t xml:space="preserve">HP EliteDesk 800 G6 Small Form Factor Business PC
CPU: </t>
    </r>
    <r>
      <rPr>
        <sz val="12"/>
        <rFont val="宋体"/>
        <charset val="134"/>
        <scheme val="minor"/>
      </rPr>
      <t xml:space="preserve">Intel Core i5 10500 3.1GHz 6C 65W
</t>
    </r>
    <r>
      <rPr>
        <b/>
        <sz val="12"/>
        <rFont val="宋体"/>
        <charset val="134"/>
        <scheme val="minor"/>
      </rPr>
      <t>Memory:</t>
    </r>
    <r>
      <rPr>
        <sz val="12"/>
        <rFont val="宋体"/>
        <charset val="134"/>
        <scheme val="minor"/>
      </rPr>
      <t xml:space="preserve"> RAM 8GB (1x8GB) DDR4 2666
</t>
    </r>
    <r>
      <rPr>
        <b/>
        <sz val="12"/>
        <rFont val="宋体"/>
        <charset val="134"/>
        <scheme val="minor"/>
      </rPr>
      <t>HardDisk:</t>
    </r>
    <r>
      <rPr>
        <sz val="12"/>
        <rFont val="宋体"/>
        <charset val="134"/>
        <scheme val="minor"/>
      </rPr>
      <t xml:space="preserve"> SSD 256GB PCIe NVMe TLC
</t>
    </r>
    <r>
      <rPr>
        <b/>
        <sz val="12"/>
        <rFont val="宋体"/>
        <charset val="134"/>
        <scheme val="minor"/>
      </rPr>
      <t>Network:</t>
    </r>
    <r>
      <rPr>
        <sz val="12"/>
        <rFont val="宋体"/>
        <charset val="134"/>
        <scheme val="minor"/>
      </rPr>
      <t xml:space="preserve"> Intel Wi-Fi 6 AX201+Bluetooth5
</t>
    </r>
    <r>
      <rPr>
        <b/>
        <sz val="12"/>
        <rFont val="宋体"/>
        <charset val="134"/>
        <scheme val="minor"/>
      </rPr>
      <t>Security:</t>
    </r>
    <r>
      <rPr>
        <sz val="12"/>
        <rFont val="宋体"/>
        <charset val="134"/>
        <scheme val="minor"/>
      </rPr>
      <t xml:space="preserve"> TPM 2.0
</t>
    </r>
    <r>
      <rPr>
        <b/>
        <sz val="12"/>
        <rFont val="宋体"/>
        <charset val="134"/>
        <scheme val="minor"/>
      </rPr>
      <t>I/O Port:</t>
    </r>
    <r>
      <rPr>
        <sz val="12"/>
        <rFont val="宋体"/>
        <charset val="134"/>
        <scheme val="minor"/>
      </rPr>
      <t xml:space="preserve"> DisplayPort, VGA Port
</t>
    </r>
    <r>
      <rPr>
        <b/>
        <sz val="12"/>
        <rFont val="宋体"/>
        <charset val="134"/>
        <scheme val="minor"/>
      </rPr>
      <t>Warranty:</t>
    </r>
    <r>
      <rPr>
        <sz val="12"/>
        <rFont val="宋体"/>
        <charset val="134"/>
        <scheme val="minor"/>
      </rPr>
      <t xml:space="preserve"> 3 years warranty
</t>
    </r>
    <r>
      <rPr>
        <b/>
        <sz val="12"/>
        <rFont val="宋体"/>
        <charset val="134"/>
        <scheme val="minor"/>
      </rPr>
      <t>OS:</t>
    </r>
    <r>
      <rPr>
        <sz val="12"/>
        <rFont val="宋体"/>
        <charset val="134"/>
        <scheme val="minor"/>
      </rPr>
      <t xml:space="preserve"> Windows 10 Pro 64bit license with Marriott China image loading (Win 10 Enterprise)</t>
    </r>
  </si>
  <si>
    <t>Come with Windows 10 x64bits OEM
*3-year limited warranty with onsite service</t>
  </si>
  <si>
    <t>E0X95AA</t>
  </si>
  <si>
    <t>Intel Ethernet I210 - T1 Gb NIC</t>
  </si>
  <si>
    <t>9VF99AA</t>
  </si>
  <si>
    <t>HP EliteDisplay E24 G4 Monitor</t>
  </si>
  <si>
    <t>HP EliteDisplay 23.8-inch Monitor</t>
  </si>
  <si>
    <t>ESI GIGAPORT HD+
8 Channels
8x RCA / Phono / Cinch (Unbalanced Mono)
ESI GIGAPORT HD +
8频道
8x RCA / Phono / Cinch（非平衡单声道）</t>
  </si>
  <si>
    <t>For 8 Channel
8频道使用
http://www.esi-audio.com/products/gigaporthd+/
Required for SoundSolution System
需要SoundSolution系统</t>
  </si>
  <si>
    <t>Background Music Software</t>
  </si>
  <si>
    <r>
      <rPr>
        <sz val="12"/>
        <rFont val="宋体"/>
        <charset val="134"/>
        <scheme val="minor"/>
      </rPr>
      <t xml:space="preserve">Dante Virtual Soundcard - </t>
    </r>
    <r>
      <rPr>
        <b/>
        <sz val="12"/>
        <rFont val="宋体"/>
        <charset val="134"/>
        <scheme val="minor"/>
      </rPr>
      <t>Permanent License</t>
    </r>
    <r>
      <rPr>
        <sz val="12"/>
        <rFont val="宋体"/>
        <charset val="134"/>
        <scheme val="minor"/>
      </rPr>
      <t xml:space="preserve">
https://www.audinate.com/products/software/dante-virtual-soundcard</t>
    </r>
  </si>
  <si>
    <t>For Dante network audio, use one PC to support all the audio zones.
https://www.audinate.com/products/software/dante-virtual-soundcard</t>
  </si>
  <si>
    <t>Nantong Marriott Hotel / 南通万豪酒店</t>
  </si>
  <si>
    <t>Items / Applications</t>
  </si>
  <si>
    <t>Product Name</t>
  </si>
  <si>
    <t>Location</t>
  </si>
  <si>
    <t>Property Management System</t>
  </si>
  <si>
    <t>Opera &amp; OXI, IFC</t>
  </si>
  <si>
    <t>VM HOST 1</t>
  </si>
  <si>
    <t>vSphere vCenter</t>
  </si>
  <si>
    <t>VM HOST 2</t>
  </si>
  <si>
    <t>DoorLock System</t>
  </si>
  <si>
    <t>POS System</t>
  </si>
  <si>
    <t>Simphony CAPS or Infrasys Transaction</t>
  </si>
  <si>
    <t>File &amp; Print</t>
  </si>
  <si>
    <t>Breakfast System</t>
  </si>
  <si>
    <t>ExTouch or SHIJI</t>
  </si>
  <si>
    <t>DL20G10</t>
  </si>
  <si>
    <t>Call Accounting System &amp;Voicemail</t>
  </si>
  <si>
    <t>FCS or TigerTMS</t>
  </si>
  <si>
    <t>VAT</t>
  </si>
  <si>
    <t>SHIJI</t>
  </si>
  <si>
    <t>Backup Server</t>
  </si>
  <si>
    <t>-</t>
  </si>
  <si>
    <t>ML30G10</t>
  </si>
  <si>
    <t>Musicstyling</t>
  </si>
  <si>
    <t>HP 800G6 SFF</t>
  </si>
  <si>
    <t>Simphony / Infrasys</t>
  </si>
  <si>
    <t>CLOUD</t>
  </si>
  <si>
    <t>Finance System</t>
  </si>
  <si>
    <t>PeopleSoft</t>
  </si>
  <si>
    <t>GXP Guest Experiences</t>
  </si>
  <si>
    <t>GXP</t>
  </si>
  <si>
    <t>Procurement System</t>
  </si>
  <si>
    <t>Birchstreet</t>
  </si>
  <si>
    <t>Engineering System</t>
  </si>
  <si>
    <t>Transcendent</t>
  </si>
  <si>
    <t>HRMS Sysem</t>
  </si>
  <si>
    <t>Sales &amp; Catering System</t>
  </si>
  <si>
    <t>CI/TY</t>
  </si>
  <si>
    <t>Meeting Space Management</t>
  </si>
  <si>
    <t>Amadeus</t>
  </si>
  <si>
    <t>Labour Management System</t>
  </si>
  <si>
    <t>LANNIAO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</si>
</sst>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m\ d\,\ yyyy;@"/>
  </numFmts>
  <fonts count="57">
    <font>
      <sz val="11"/>
      <color theme="1"/>
      <name val="宋体"/>
      <charset val="134"/>
      <scheme val="minor"/>
    </font>
    <font>
      <sz val="12"/>
      <name val="Arial"/>
      <charset val="134"/>
    </font>
    <font>
      <b/>
      <sz val="12"/>
      <color theme="1"/>
      <name val="Arial"/>
      <charset val="134"/>
    </font>
    <font>
      <b/>
      <sz val="12"/>
      <name val="Arial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u/>
      <sz val="14"/>
      <name val="宋体"/>
      <charset val="134"/>
      <scheme val="minor"/>
    </font>
    <font>
      <b/>
      <sz val="16"/>
      <name val="宋体"/>
      <charset val="134"/>
      <scheme val="minor"/>
    </font>
    <font>
      <b/>
      <u/>
      <sz val="12"/>
      <color rgb="FFFF0000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2"/>
      <color indexed="6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Calibri"/>
      <charset val="134"/>
    </font>
    <font>
      <b/>
      <u/>
      <sz val="14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trike/>
      <sz val="12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u/>
      <sz val="18"/>
      <color rgb="FFFF0000"/>
      <name val="宋体"/>
      <charset val="134"/>
      <scheme val="minor"/>
    </font>
    <font>
      <b/>
      <strike/>
      <sz val="12"/>
      <color rgb="FFFF0000"/>
      <name val="宋体"/>
      <charset val="134"/>
      <scheme val="minor"/>
    </font>
    <font>
      <sz val="9"/>
      <name val="Arial"/>
      <charset val="134"/>
    </font>
    <font>
      <i/>
      <sz val="12"/>
      <color rgb="FFFF0000"/>
      <name val="宋体"/>
      <charset val="134"/>
      <scheme val="minor"/>
    </font>
    <font>
      <i/>
      <sz val="12"/>
      <name val="宋体"/>
      <charset val="134"/>
      <scheme val="minor"/>
    </font>
    <font>
      <b/>
      <sz val="14"/>
      <color indexed="6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u/>
      <sz val="12"/>
      <name val="宋体"/>
      <charset val="134"/>
      <scheme val="minor"/>
    </font>
    <font>
      <b/>
      <sz val="12"/>
      <color indexed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10"/>
      <name val="宋体"/>
      <charset val="134"/>
      <scheme val="minor"/>
    </font>
    <font>
      <sz val="12"/>
      <color rgb="FFC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rgb="FFFF0000"/>
      <name val="宋体"/>
      <charset val="134"/>
      <scheme val="minor"/>
    </font>
    <font>
      <b/>
      <strike/>
      <sz val="12"/>
      <name val="宋体"/>
      <charset val="134"/>
      <scheme val="minor"/>
    </font>
    <font>
      <b/>
      <sz val="12"/>
      <color rgb="FF000000"/>
      <name val="宋体"/>
      <charset val="134"/>
      <scheme val="minor"/>
    </font>
  </fonts>
  <fills count="5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22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rgb="FFFF0000"/>
      </right>
      <top style="thin">
        <color auto="1"/>
      </top>
      <bottom style="thin">
        <color auto="1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4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/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2" borderId="48" applyNumberFormat="0" applyFont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49" applyNumberFormat="0" applyFill="0" applyAlignment="0" applyProtection="0">
      <alignment vertical="center"/>
    </xf>
    <xf numFmtId="0" fontId="46" fillId="0" borderId="49" applyNumberFormat="0" applyFill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41" fillId="0" borderId="50" applyNumberFormat="0" applyFill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47" fillId="36" borderId="51" applyNumberFormat="0" applyAlignment="0" applyProtection="0">
      <alignment vertical="center"/>
    </xf>
    <xf numFmtId="0" fontId="48" fillId="36" borderId="47" applyNumberFormat="0" applyAlignment="0" applyProtection="0">
      <alignment vertical="center"/>
    </xf>
    <xf numFmtId="0" fontId="39" fillId="0" borderId="0"/>
    <xf numFmtId="0" fontId="49" fillId="37" borderId="52" applyNumberFormat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50" fillId="0" borderId="53" applyNumberFormat="0" applyFill="0" applyAlignment="0" applyProtection="0">
      <alignment vertical="center"/>
    </xf>
    <xf numFmtId="0" fontId="51" fillId="0" borderId="54" applyNumberFormat="0" applyFill="0" applyAlignment="0" applyProtection="0">
      <alignment vertical="center"/>
    </xf>
    <xf numFmtId="0" fontId="52" fillId="40" borderId="0" applyNumberFormat="0" applyBorder="0" applyAlignment="0" applyProtection="0">
      <alignment vertical="center"/>
    </xf>
    <xf numFmtId="0" fontId="53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176" fontId="1" fillId="0" borderId="0"/>
    <xf numFmtId="0" fontId="34" fillId="4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0" fillId="0" borderId="0"/>
    <xf numFmtId="0" fontId="1" fillId="0" borderId="0"/>
    <xf numFmtId="0" fontId="39" fillId="0" borderId="0"/>
    <xf numFmtId="0" fontId="39" fillId="0" borderId="0"/>
  </cellStyleXfs>
  <cellXfs count="436">
    <xf numFmtId="0" fontId="0" fillId="0" borderId="0" xfId="0">
      <alignment vertical="center"/>
    </xf>
    <xf numFmtId="0" fontId="1" fillId="0" borderId="0" xfId="53"/>
    <xf numFmtId="0" fontId="2" fillId="0" borderId="0" xfId="53" applyFont="1" applyAlignment="1">
      <alignment horizontal="center"/>
    </xf>
    <xf numFmtId="0" fontId="3" fillId="0" borderId="1" xfId="53" applyFont="1" applyBorder="1" applyAlignment="1">
      <alignment horizontal="center"/>
    </xf>
    <xf numFmtId="0" fontId="2" fillId="0" borderId="1" xfId="53" applyFont="1" applyBorder="1" applyAlignment="1">
      <alignment horizontal="center"/>
    </xf>
    <xf numFmtId="0" fontId="4" fillId="2" borderId="1" xfId="53" applyFont="1" applyFill="1" applyBorder="1" applyAlignment="1">
      <alignment vertical="center" wrapText="1"/>
    </xf>
    <xf numFmtId="0" fontId="4" fillId="2" borderId="1" xfId="53" applyFont="1" applyFill="1" applyBorder="1" applyAlignment="1">
      <alignment vertical="center"/>
    </xf>
    <xf numFmtId="0" fontId="4" fillId="3" borderId="1" xfId="53" applyFont="1" applyFill="1" applyBorder="1" applyAlignment="1">
      <alignment vertical="center" wrapText="1"/>
    </xf>
    <xf numFmtId="0" fontId="4" fillId="3" borderId="1" xfId="53" applyFont="1" applyFill="1" applyBorder="1" applyAlignment="1">
      <alignment vertical="center"/>
    </xf>
    <xf numFmtId="0" fontId="4" fillId="0" borderId="1" xfId="53" applyFont="1" applyBorder="1" applyAlignment="1">
      <alignment vertical="center"/>
    </xf>
    <xf numFmtId="0" fontId="4" fillId="0" borderId="1" xfId="53" applyFont="1" applyBorder="1" applyAlignment="1">
      <alignment vertical="center" wrapText="1"/>
    </xf>
    <xf numFmtId="0" fontId="4" fillId="4" borderId="1" xfId="53" applyFont="1" applyFill="1" applyBorder="1" applyAlignment="1">
      <alignment vertical="center" wrapText="1"/>
    </xf>
    <xf numFmtId="0" fontId="4" fillId="4" borderId="1" xfId="53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4" fontId="6" fillId="0" borderId="0" xfId="0" applyNumberFormat="1" applyFont="1" applyFill="1" applyAlignment="1" applyProtection="1">
      <alignment horizontal="left" vertical="center" wrapText="1"/>
      <protection locked="0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left" vertical="center"/>
    </xf>
    <xf numFmtId="0" fontId="7" fillId="6" borderId="3" xfId="0" applyFont="1" applyFill="1" applyBorder="1" applyAlignment="1">
      <alignment horizontal="center"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vertical="center"/>
    </xf>
    <xf numFmtId="0" fontId="5" fillId="7" borderId="4" xfId="0" applyFont="1" applyFill="1" applyBorder="1" applyAlignment="1">
      <alignment vertical="center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2" fillId="8" borderId="9" xfId="0" applyFont="1" applyFill="1" applyBorder="1" applyAlignment="1">
      <alignment horizontal="left" vertical="center" wrapText="1"/>
    </xf>
    <xf numFmtId="0" fontId="12" fillId="9" borderId="10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3" fillId="10" borderId="3" xfId="0" applyFont="1" applyFill="1" applyBorder="1" applyAlignment="1">
      <alignment vertical="center"/>
    </xf>
    <xf numFmtId="0" fontId="13" fillId="10" borderId="4" xfId="0" applyFont="1" applyFill="1" applyBorder="1" applyAlignment="1">
      <alignment vertical="center"/>
    </xf>
    <xf numFmtId="0" fontId="5" fillId="11" borderId="12" xfId="0" applyFont="1" applyFill="1" applyBorder="1" applyAlignment="1">
      <alignment horizontal="center" vertical="center" wrapText="1"/>
    </xf>
    <xf numFmtId="0" fontId="5" fillId="11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top" wrapText="1"/>
    </xf>
    <xf numFmtId="0" fontId="5" fillId="0" borderId="15" xfId="0" applyFont="1" applyFill="1" applyBorder="1" applyAlignment="1">
      <alignment horizontal="left" vertical="top" wrapText="1"/>
    </xf>
    <xf numFmtId="0" fontId="5" fillId="0" borderId="14" xfId="54" applyFont="1" applyBorder="1" applyAlignment="1">
      <alignment horizontal="left" vertical="top" wrapText="1"/>
    </xf>
    <xf numFmtId="0" fontId="6" fillId="0" borderId="15" xfId="54" applyFont="1" applyBorder="1" applyAlignment="1">
      <alignment horizontal="left" vertical="top" wrapText="1"/>
    </xf>
    <xf numFmtId="0" fontId="5" fillId="0" borderId="14" xfId="54" applyFont="1" applyBorder="1" applyAlignment="1">
      <alignment horizontal="left" vertical="center" wrapText="1"/>
    </xf>
    <xf numFmtId="0" fontId="6" fillId="0" borderId="15" xfId="54" applyFont="1" applyBorder="1" applyAlignment="1">
      <alignment horizontal="left" vertical="center" wrapText="1"/>
    </xf>
    <xf numFmtId="0" fontId="5" fillId="0" borderId="14" xfId="54" applyFont="1" applyFill="1" applyBorder="1" applyAlignment="1">
      <alignment horizontal="left" vertical="top" wrapText="1"/>
    </xf>
    <xf numFmtId="0" fontId="5" fillId="0" borderId="14" xfId="54" applyFont="1" applyFill="1" applyBorder="1"/>
    <xf numFmtId="0" fontId="6" fillId="0" borderId="15" xfId="54" applyFont="1" applyBorder="1" applyAlignment="1">
      <alignment horizontal="left" vertical="top"/>
    </xf>
    <xf numFmtId="0" fontId="5" fillId="8" borderId="14" xfId="54" applyFont="1" applyFill="1" applyBorder="1" applyAlignment="1">
      <alignment vertical="center"/>
    </xf>
    <xf numFmtId="0" fontId="6" fillId="0" borderId="15" xfId="54" applyFont="1" applyBorder="1" applyAlignment="1">
      <alignment vertical="center"/>
    </xf>
    <xf numFmtId="0" fontId="5" fillId="0" borderId="14" xfId="55" applyFont="1" applyBorder="1" applyAlignment="1">
      <alignment horizontal="left" vertical="top" wrapText="1"/>
    </xf>
    <xf numFmtId="0" fontId="6" fillId="0" borderId="15" xfId="55" applyFont="1" applyBorder="1" applyAlignment="1">
      <alignment horizontal="left" vertical="top" wrapText="1"/>
    </xf>
    <xf numFmtId="0" fontId="5" fillId="0" borderId="16" xfId="55" applyFont="1" applyBorder="1" applyAlignment="1">
      <alignment horizontal="left" vertical="top" wrapText="1"/>
    </xf>
    <xf numFmtId="0" fontId="5" fillId="0" borderId="14" xfId="0" applyFont="1" applyFill="1" applyBorder="1" applyAlignment="1"/>
    <xf numFmtId="0" fontId="6" fillId="0" borderId="15" xfId="0" applyFont="1" applyFill="1" applyBorder="1" applyAlignment="1"/>
    <xf numFmtId="0" fontId="5" fillId="0" borderId="17" xfId="0" applyFont="1" applyFill="1" applyBorder="1" applyAlignment="1">
      <alignment horizontal="left" vertical="center"/>
    </xf>
    <xf numFmtId="0" fontId="6" fillId="0" borderId="18" xfId="54" applyFont="1" applyFill="1" applyBorder="1" applyAlignment="1" applyProtection="1">
      <alignment vertical="center" wrapText="1"/>
    </xf>
    <xf numFmtId="0" fontId="14" fillId="0" borderId="11" xfId="54" applyFont="1" applyFill="1" applyBorder="1" applyAlignment="1">
      <alignment horizontal="left" vertical="top"/>
    </xf>
    <xf numFmtId="0" fontId="14" fillId="0" borderId="0" xfId="54" applyFont="1" applyFill="1" applyBorder="1" applyAlignment="1">
      <alignment vertical="top" wrapText="1"/>
    </xf>
    <xf numFmtId="0" fontId="5" fillId="11" borderId="19" xfId="0" applyFont="1" applyFill="1" applyBorder="1" applyAlignment="1">
      <alignment horizontal="center" vertical="center" wrapText="1"/>
    </xf>
    <xf numFmtId="0" fontId="5" fillId="11" borderId="20" xfId="0" applyFont="1" applyFill="1" applyBorder="1" applyAlignment="1">
      <alignment horizontal="center" vertical="center" wrapText="1"/>
    </xf>
    <xf numFmtId="0" fontId="5" fillId="0" borderId="21" xfId="54" applyFont="1" applyFill="1" applyBorder="1" applyAlignment="1">
      <alignment horizontal="left" vertical="center"/>
    </xf>
    <xf numFmtId="0" fontId="6" fillId="0" borderId="22" xfId="0" applyFont="1" applyFill="1" applyBorder="1" applyAlignment="1">
      <alignment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12" borderId="3" xfId="54" applyFont="1" applyFill="1" applyBorder="1" applyAlignment="1">
      <alignment horizontal="left" vertical="top"/>
    </xf>
    <xf numFmtId="0" fontId="6" fillId="12" borderId="4" xfId="54" applyFont="1" applyFill="1" applyBorder="1" applyAlignment="1">
      <alignment vertical="top" wrapText="1"/>
    </xf>
    <xf numFmtId="0" fontId="5" fillId="0" borderId="12" xfId="0" applyFont="1" applyFill="1" applyBorder="1" applyAlignment="1">
      <alignment horizontal="left" vertical="top" wrapText="1"/>
    </xf>
    <xf numFmtId="0" fontId="5" fillId="0" borderId="13" xfId="0" applyFont="1" applyFill="1" applyBorder="1" applyAlignment="1">
      <alignment horizontal="left" vertical="top" wrapText="1"/>
    </xf>
    <xf numFmtId="0" fontId="5" fillId="8" borderId="14" xfId="54" applyFont="1" applyFill="1" applyBorder="1" applyAlignment="1">
      <alignment horizontal="left" vertical="top" wrapText="1"/>
    </xf>
    <xf numFmtId="0" fontId="6" fillId="0" borderId="15" xfId="54" applyFont="1" applyBorder="1" applyAlignment="1">
      <alignment vertical="top" wrapText="1"/>
    </xf>
    <xf numFmtId="0" fontId="5" fillId="0" borderId="14" xfId="54" applyFont="1" applyBorder="1" applyAlignment="1">
      <alignment vertical="top"/>
    </xf>
    <xf numFmtId="0" fontId="5" fillId="0" borderId="14" xfId="54" applyFont="1" applyBorder="1" applyAlignment="1">
      <alignment horizontal="left" vertical="top"/>
    </xf>
    <xf numFmtId="0" fontId="5" fillId="0" borderId="24" xfId="0" applyFont="1" applyFill="1" applyBorder="1" applyAlignment="1"/>
    <xf numFmtId="0" fontId="6" fillId="0" borderId="25" xfId="54" applyFont="1" applyFill="1" applyBorder="1" applyAlignment="1">
      <alignment horizontal="left" vertical="top" wrapText="1"/>
    </xf>
    <xf numFmtId="0" fontId="5" fillId="0" borderId="17" xfId="54" applyFont="1" applyBorder="1" applyAlignment="1">
      <alignment horizontal="left" vertical="center"/>
    </xf>
    <xf numFmtId="0" fontId="6" fillId="0" borderId="18" xfId="54" applyFont="1" applyBorder="1" applyAlignment="1">
      <alignment vertical="center" wrapText="1"/>
    </xf>
    <xf numFmtId="0" fontId="6" fillId="0" borderId="26" xfId="54" applyFont="1" applyBorder="1" applyAlignment="1">
      <alignment horizontal="left" vertical="top"/>
    </xf>
    <xf numFmtId="0" fontId="6" fillId="0" borderId="27" xfId="54" applyFont="1" applyBorder="1" applyAlignment="1">
      <alignment vertical="top" wrapText="1"/>
    </xf>
    <xf numFmtId="0" fontId="5" fillId="11" borderId="14" xfId="0" applyFont="1" applyFill="1" applyBorder="1" applyAlignment="1">
      <alignment horizontal="center" vertical="center" wrapText="1"/>
    </xf>
    <xf numFmtId="0" fontId="5" fillId="11" borderId="15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 wrapText="1"/>
    </xf>
    <xf numFmtId="0" fontId="5" fillId="11" borderId="21" xfId="0" applyFont="1" applyFill="1" applyBorder="1" applyAlignment="1">
      <alignment horizontal="center" vertical="center" wrapText="1"/>
    </xf>
    <xf numFmtId="0" fontId="5" fillId="11" borderId="22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11" xfId="55" applyFont="1" applyBorder="1" applyAlignment="1">
      <alignment horizontal="left" vertical="top" wrapText="1"/>
    </xf>
    <xf numFmtId="0" fontId="15" fillId="0" borderId="0" xfId="0" applyFont="1" applyFill="1" applyBorder="1" applyAlignment="1">
      <alignment horizontal="left" vertical="top"/>
    </xf>
    <xf numFmtId="0" fontId="10" fillId="7" borderId="3" xfId="0" applyFont="1" applyFill="1" applyBorder="1" applyAlignment="1">
      <alignment horizontal="left" vertical="top" wrapText="1"/>
    </xf>
    <xf numFmtId="0" fontId="10" fillId="7" borderId="4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vertical="top" wrapText="1"/>
    </xf>
    <xf numFmtId="0" fontId="11" fillId="0" borderId="6" xfId="0" applyFont="1" applyFill="1" applyBorder="1" applyAlignment="1">
      <alignment vertical="top" wrapText="1"/>
    </xf>
    <xf numFmtId="0" fontId="11" fillId="0" borderId="11" xfId="0" applyFont="1" applyFill="1" applyBorder="1" applyAlignment="1">
      <alignment vertical="top" wrapText="1"/>
    </xf>
    <xf numFmtId="0" fontId="11" fillId="0" borderId="0" xfId="0" applyFont="1" applyFill="1" applyBorder="1" applyAlignment="1">
      <alignment vertical="top" wrapText="1"/>
    </xf>
    <xf numFmtId="0" fontId="12" fillId="0" borderId="16" xfId="0" applyFont="1" applyFill="1" applyBorder="1" applyAlignment="1">
      <alignment horizontal="left" vertical="center" wrapText="1"/>
    </xf>
    <xf numFmtId="0" fontId="12" fillId="9" borderId="28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top" wrapText="1"/>
    </xf>
    <xf numFmtId="0" fontId="16" fillId="0" borderId="0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8" fillId="13" borderId="14" xfId="0" applyFont="1" applyFill="1" applyBorder="1" applyAlignment="1">
      <alignment horizontal="center" vertical="center" wrapText="1"/>
    </xf>
    <xf numFmtId="0" fontId="8" fillId="13" borderId="15" xfId="0" applyFont="1" applyFill="1" applyBorder="1" applyAlignment="1">
      <alignment horizontal="left" vertical="center" wrapText="1"/>
    </xf>
    <xf numFmtId="4" fontId="7" fillId="14" borderId="4" xfId="0" applyNumberFormat="1" applyFont="1" applyFill="1" applyBorder="1" applyAlignment="1" applyProtection="1">
      <alignment horizontal="center" vertical="center" wrapText="1"/>
      <protection locked="0"/>
    </xf>
    <xf numFmtId="4" fontId="5" fillId="0" borderId="6" xfId="0" applyNumberFormat="1" applyFont="1" applyFill="1" applyBorder="1" applyAlignment="1" applyProtection="1">
      <alignment horizontal="left" vertical="center" wrapText="1"/>
      <protection locked="0"/>
    </xf>
    <xf numFmtId="4" fontId="5" fillId="0" borderId="8" xfId="0" applyNumberFormat="1" applyFont="1" applyFill="1" applyBorder="1" applyAlignment="1" applyProtection="1">
      <alignment horizontal="left" vertical="center" wrapText="1"/>
      <protection locked="0"/>
    </xf>
    <xf numFmtId="0" fontId="5" fillId="7" borderId="4" xfId="0" applyFont="1" applyFill="1" applyBorder="1" applyAlignment="1" applyProtection="1">
      <alignment vertical="center"/>
      <protection locked="0"/>
    </xf>
    <xf numFmtId="0" fontId="12" fillId="8" borderId="1" xfId="0" applyFont="1" applyFill="1" applyBorder="1" applyAlignment="1">
      <alignment horizontal="left" vertical="center" wrapText="1"/>
    </xf>
    <xf numFmtId="0" fontId="11" fillId="8" borderId="1" xfId="0" applyFont="1" applyFill="1" applyBorder="1" applyAlignment="1">
      <alignment horizontal="left" vertical="center" wrapText="1"/>
    </xf>
    <xf numFmtId="0" fontId="13" fillId="10" borderId="29" xfId="0" applyFont="1" applyFill="1" applyBorder="1" applyAlignment="1" applyProtection="1">
      <alignment vertical="center"/>
      <protection locked="0"/>
    </xf>
    <xf numFmtId="0" fontId="17" fillId="15" borderId="3" xfId="0" applyFont="1" applyFill="1" applyBorder="1" applyAlignment="1">
      <alignment horizontal="left" vertical="center" wrapText="1"/>
    </xf>
    <xf numFmtId="0" fontId="5" fillId="11" borderId="13" xfId="0" applyFont="1" applyFill="1" applyBorder="1" applyAlignment="1" applyProtection="1">
      <alignment horizontal="center" vertical="center" wrapText="1"/>
      <protection locked="0"/>
    </xf>
    <xf numFmtId="0" fontId="5" fillId="11" borderId="15" xfId="0" applyFont="1" applyFill="1" applyBorder="1" applyAlignment="1">
      <alignment horizontal="center" vertical="center"/>
    </xf>
    <xf numFmtId="0" fontId="5" fillId="0" borderId="15" xfId="0" applyFont="1" applyFill="1" applyBorder="1" applyAlignment="1" applyProtection="1">
      <alignment horizontal="left" vertical="center" wrapText="1"/>
      <protection locked="0"/>
    </xf>
    <xf numFmtId="0" fontId="5" fillId="13" borderId="15" xfId="0" applyFont="1" applyFill="1" applyBorder="1" applyAlignment="1">
      <alignment horizontal="center" vertical="center"/>
    </xf>
    <xf numFmtId="0" fontId="6" fillId="0" borderId="25" xfId="0" applyFont="1" applyFill="1" applyBorder="1" applyAlignment="1" applyProtection="1">
      <alignment horizontal="left" vertical="center" wrapText="1"/>
      <protection locked="0"/>
    </xf>
    <xf numFmtId="0" fontId="6" fillId="16" borderId="25" xfId="0" applyFont="1" applyFill="1" applyBorder="1" applyAlignment="1" applyProtection="1">
      <alignment vertical="center" wrapText="1"/>
      <protection locked="0"/>
    </xf>
    <xf numFmtId="0" fontId="5" fillId="13" borderId="15" xfId="0" applyFont="1" applyFill="1" applyBorder="1" applyAlignment="1">
      <alignment horizontal="center" vertical="center" wrapText="1"/>
    </xf>
    <xf numFmtId="0" fontId="6" fillId="16" borderId="25" xfId="0" applyFont="1" applyFill="1" applyBorder="1" applyAlignment="1" applyProtection="1">
      <alignment horizontal="left" vertical="center" wrapText="1"/>
      <protection locked="0"/>
    </xf>
    <xf numFmtId="0" fontId="5" fillId="16" borderId="15" xfId="0" applyFont="1" applyFill="1" applyBorder="1" applyAlignment="1" applyProtection="1">
      <alignment horizontal="left" vertical="center" wrapText="1"/>
      <protection locked="0"/>
    </xf>
    <xf numFmtId="0" fontId="6" fillId="0" borderId="15" xfId="55" applyFont="1" applyBorder="1" applyAlignment="1" applyProtection="1">
      <alignment horizontal="left" vertical="top" wrapText="1"/>
      <protection locked="0"/>
    </xf>
    <xf numFmtId="0" fontId="1" fillId="0" borderId="15" xfId="0" applyFont="1" applyFill="1" applyBorder="1" applyAlignment="1"/>
    <xf numFmtId="0" fontId="6" fillId="0" borderId="30" xfId="0" applyFont="1" applyFill="1" applyBorder="1" applyAlignment="1">
      <alignment horizontal="left" vertical="center" wrapText="1"/>
    </xf>
    <xf numFmtId="0" fontId="5" fillId="13" borderId="18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 applyProtection="1">
      <alignment horizontal="left" vertical="top" wrapText="1"/>
      <protection locked="0"/>
    </xf>
    <xf numFmtId="0" fontId="17" fillId="0" borderId="0" xfId="0" applyFont="1" applyFill="1" applyBorder="1" applyAlignment="1">
      <alignment horizontal="center" vertical="center" wrapText="1"/>
    </xf>
    <xf numFmtId="0" fontId="5" fillId="11" borderId="20" xfId="0" applyFont="1" applyFill="1" applyBorder="1" applyAlignment="1" applyProtection="1">
      <alignment horizontal="center" vertical="center" wrapText="1"/>
      <protection locked="0"/>
    </xf>
    <xf numFmtId="0" fontId="5" fillId="11" borderId="20" xfId="0" applyFont="1" applyFill="1" applyBorder="1" applyAlignment="1">
      <alignment horizontal="center" vertical="center"/>
    </xf>
    <xf numFmtId="0" fontId="6" fillId="0" borderId="22" xfId="0" applyFont="1" applyFill="1" applyBorder="1" applyAlignment="1" applyProtection="1">
      <alignment horizontal="left" vertical="center" wrapText="1"/>
      <protection locked="0"/>
    </xf>
    <xf numFmtId="0" fontId="5" fillId="13" borderId="22" xfId="0" applyFont="1" applyFill="1" applyBorder="1" applyAlignment="1">
      <alignment horizontal="center" vertical="center" wrapText="1"/>
    </xf>
    <xf numFmtId="0" fontId="5" fillId="16" borderId="13" xfId="0" applyFont="1" applyFill="1" applyBorder="1" applyAlignment="1" applyProtection="1">
      <alignment horizontal="right" vertical="center" wrapText="1"/>
      <protection locked="0"/>
    </xf>
    <xf numFmtId="0" fontId="18" fillId="12" borderId="29" xfId="0" applyFont="1" applyFill="1" applyBorder="1" applyAlignment="1" applyProtection="1">
      <alignment horizontal="left" vertical="top" wrapText="1"/>
      <protection locked="0"/>
    </xf>
    <xf numFmtId="4" fontId="19" fillId="15" borderId="3" xfId="0" applyNumberFormat="1" applyFont="1" applyFill="1" applyBorder="1" applyAlignment="1" applyProtection="1">
      <alignment horizontal="left" vertical="center"/>
      <protection locked="0"/>
    </xf>
    <xf numFmtId="0" fontId="18" fillId="12" borderId="4" xfId="0" applyFont="1" applyFill="1" applyBorder="1" applyAlignment="1" applyProtection="1">
      <alignment horizontal="left" vertical="top" wrapText="1"/>
      <protection locked="0"/>
    </xf>
    <xf numFmtId="0" fontId="19" fillId="17" borderId="3" xfId="0" applyFont="1" applyFill="1" applyBorder="1" applyAlignment="1">
      <alignment horizontal="left" vertical="center" wrapText="1"/>
    </xf>
    <xf numFmtId="0" fontId="5" fillId="15" borderId="20" xfId="0" applyFont="1" applyFill="1" applyBorder="1" applyAlignment="1">
      <alignment horizontal="center" vertical="center"/>
    </xf>
    <xf numFmtId="0" fontId="5" fillId="0" borderId="13" xfId="0" applyFont="1" applyFill="1" applyBorder="1" applyAlignment="1" applyProtection="1">
      <alignment horizontal="left" vertical="center" wrapText="1"/>
      <protection locked="0"/>
    </xf>
    <xf numFmtId="0" fontId="5" fillId="13" borderId="13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left" vertical="top" wrapText="1"/>
      <protection locked="0"/>
    </xf>
    <xf numFmtId="0" fontId="5" fillId="13" borderId="15" xfId="0" applyFont="1" applyFill="1" applyBorder="1" applyAlignment="1">
      <alignment horizontal="center" vertical="top" wrapText="1"/>
    </xf>
    <xf numFmtId="0" fontId="6" fillId="0" borderId="15" xfId="0" applyFont="1" applyFill="1" applyBorder="1" applyAlignment="1" applyProtection="1">
      <alignment horizontal="left" vertical="top" wrapText="1"/>
      <protection locked="0"/>
    </xf>
    <xf numFmtId="0" fontId="6" fillId="0" borderId="15" xfId="0" applyFont="1" applyFill="1" applyBorder="1" applyAlignment="1">
      <alignment horizontal="left" vertical="top" wrapText="1"/>
    </xf>
    <xf numFmtId="0" fontId="5" fillId="13" borderId="25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 applyProtection="1">
      <alignment horizontal="left" vertical="top" wrapText="1"/>
      <protection locked="0"/>
    </xf>
    <xf numFmtId="0" fontId="5" fillId="0" borderId="31" xfId="0" applyFont="1" applyFill="1" applyBorder="1" applyAlignment="1">
      <alignment horizontal="center" vertical="center" wrapText="1"/>
    </xf>
    <xf numFmtId="0" fontId="8" fillId="11" borderId="15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>
      <alignment vertical="center"/>
    </xf>
    <xf numFmtId="0" fontId="8" fillId="11" borderId="22" xfId="0" applyFont="1" applyFill="1" applyBorder="1" applyAlignment="1" applyProtection="1">
      <alignment horizontal="center" vertical="center" wrapText="1"/>
      <protection locked="0"/>
    </xf>
    <xf numFmtId="0" fontId="5" fillId="11" borderId="22" xfId="0" applyFont="1" applyFill="1" applyBorder="1" applyAlignment="1">
      <alignment horizontal="center" vertical="center"/>
    </xf>
    <xf numFmtId="4" fontId="5" fillId="18" borderId="0" xfId="0" applyNumberFormat="1" applyFont="1" applyFill="1" applyBorder="1" applyAlignment="1" applyProtection="1">
      <alignment horizontal="right" vertical="center" wrapText="1"/>
      <protection locked="0"/>
    </xf>
    <xf numFmtId="4" fontId="5" fillId="18" borderId="0" xfId="0" applyNumberFormat="1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center" vertical="top" wrapText="1"/>
    </xf>
    <xf numFmtId="0" fontId="11" fillId="0" borderId="6" xfId="0" applyFont="1" applyFill="1" applyBorder="1" applyAlignment="1">
      <alignment horizontal="left" vertical="top" wrapText="1"/>
    </xf>
    <xf numFmtId="0" fontId="11" fillId="0" borderId="6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vertical="center"/>
    </xf>
    <xf numFmtId="0" fontId="17" fillId="13" borderId="3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right" vertical="top" wrapText="1" indent="1"/>
    </xf>
    <xf numFmtId="0" fontId="6" fillId="19" borderId="14" xfId="0" applyFont="1" applyFill="1" applyBorder="1" applyAlignment="1">
      <alignment horizontal="right" vertical="top" wrapText="1" indent="1"/>
    </xf>
    <xf numFmtId="0" fontId="14" fillId="0" borderId="15" xfId="0" applyFont="1" applyFill="1" applyBorder="1" applyAlignment="1">
      <alignment horizontal="left" vertical="top" wrapText="1"/>
    </xf>
    <xf numFmtId="0" fontId="8" fillId="13" borderId="24" xfId="0" applyFont="1" applyFill="1" applyBorder="1" applyAlignment="1">
      <alignment horizontal="right" vertical="top" wrapText="1" indent="1"/>
    </xf>
    <xf numFmtId="0" fontId="5" fillId="13" borderId="25" xfId="0" applyFont="1" applyFill="1" applyBorder="1" applyAlignment="1">
      <alignment horizontal="left" vertical="top" wrapText="1"/>
    </xf>
    <xf numFmtId="0" fontId="6" fillId="20" borderId="3" xfId="54" applyFont="1" applyFill="1" applyBorder="1" applyAlignment="1">
      <alignment horizontal="right" vertical="top"/>
    </xf>
    <xf numFmtId="0" fontId="17" fillId="20" borderId="4" xfId="54" applyFont="1" applyFill="1" applyBorder="1" applyAlignment="1">
      <alignment horizontal="center" vertical="top" wrapText="1"/>
    </xf>
    <xf numFmtId="0" fontId="6" fillId="20" borderId="11" xfId="54" applyFont="1" applyFill="1" applyBorder="1" applyAlignment="1">
      <alignment horizontal="right" vertical="top"/>
    </xf>
    <xf numFmtId="0" fontId="17" fillId="20" borderId="0" xfId="54" applyFont="1" applyFill="1" applyBorder="1" applyAlignment="1">
      <alignment horizontal="center" vertical="top" wrapText="1"/>
    </xf>
    <xf numFmtId="0" fontId="6" fillId="0" borderId="14" xfId="54" applyFont="1" applyBorder="1" applyAlignment="1">
      <alignment vertical="top"/>
    </xf>
    <xf numFmtId="0" fontId="6" fillId="0" borderId="17" xfId="54" applyFont="1" applyBorder="1" applyAlignment="1">
      <alignment horizontal="left" vertical="top"/>
    </xf>
    <xf numFmtId="0" fontId="6" fillId="0" borderId="32" xfId="54" applyFont="1" applyBorder="1" applyAlignment="1">
      <alignment vertical="top" wrapText="1"/>
    </xf>
    <xf numFmtId="0" fontId="5" fillId="0" borderId="33" xfId="54" applyFont="1" applyFill="1" applyBorder="1" applyAlignment="1">
      <alignment horizontal="left" vertical="center"/>
    </xf>
    <xf numFmtId="0" fontId="6" fillId="0" borderId="13" xfId="0" applyFont="1" applyFill="1" applyBorder="1" applyAlignment="1">
      <alignment vertical="center" wrapText="1"/>
    </xf>
    <xf numFmtId="0" fontId="8" fillId="11" borderId="2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4" xfId="52" applyFont="1" applyFill="1" applyBorder="1" applyAlignment="1">
      <alignment horizontal="left" vertical="center"/>
    </xf>
    <xf numFmtId="0" fontId="6" fillId="0" borderId="34" xfId="27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6" fillId="0" borderId="35" xfId="0" applyFont="1" applyFill="1" applyBorder="1" applyAlignment="1">
      <alignment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center" wrapText="1"/>
    </xf>
    <xf numFmtId="0" fontId="6" fillId="0" borderId="3" xfId="55" applyFont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/>
    </xf>
    <xf numFmtId="0" fontId="10" fillId="7" borderId="3" xfId="0" applyFont="1" applyFill="1" applyBorder="1" applyAlignment="1">
      <alignment horizontal="left" vertical="center"/>
    </xf>
    <xf numFmtId="0" fontId="5" fillId="7" borderId="4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6" fillId="19" borderId="15" xfId="0" applyFont="1" applyFill="1" applyBorder="1" applyAlignment="1">
      <alignment horizontal="left" vertical="top" wrapText="1" indent="1"/>
    </xf>
    <xf numFmtId="0" fontId="6" fillId="0" borderId="31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left" vertical="top" wrapText="1" indent="1"/>
    </xf>
    <xf numFmtId="0" fontId="8" fillId="13" borderId="25" xfId="0" applyFont="1" applyFill="1" applyBorder="1" applyAlignment="1">
      <alignment horizontal="left" vertical="top" wrapText="1" indent="1"/>
    </xf>
    <xf numFmtId="0" fontId="6" fillId="13" borderId="32" xfId="0" applyFont="1" applyFill="1" applyBorder="1" applyAlignment="1">
      <alignment horizontal="center" vertical="center"/>
    </xf>
    <xf numFmtId="0" fontId="17" fillId="20" borderId="29" xfId="54" applyFont="1" applyFill="1" applyBorder="1" applyAlignment="1">
      <alignment horizontal="center" vertical="top" wrapText="1"/>
    </xf>
    <xf numFmtId="0" fontId="7" fillId="15" borderId="0" xfId="0" applyFont="1" applyFill="1" applyAlignment="1">
      <alignment horizontal="center" vertical="center"/>
    </xf>
    <xf numFmtId="0" fontId="7" fillId="17" borderId="36" xfId="0" applyFont="1" applyFill="1" applyBorder="1" applyAlignment="1">
      <alignment horizontal="center" vertical="center"/>
    </xf>
    <xf numFmtId="0" fontId="5" fillId="12" borderId="13" xfId="0" applyFont="1" applyFill="1" applyBorder="1" applyAlignment="1">
      <alignment horizontal="center" vertical="center" wrapText="1"/>
    </xf>
    <xf numFmtId="0" fontId="5" fillId="12" borderId="15" xfId="0" applyFont="1" applyFill="1" applyBorder="1" applyAlignment="1">
      <alignment horizontal="center" vertical="center" wrapText="1"/>
    </xf>
    <xf numFmtId="0" fontId="5" fillId="12" borderId="15" xfId="0" applyFont="1" applyFill="1" applyBorder="1" applyAlignment="1">
      <alignment horizontal="center" vertical="top" wrapText="1"/>
    </xf>
    <xf numFmtId="0" fontId="5" fillId="12" borderId="25" xfId="0" applyFont="1" applyFill="1" applyBorder="1" applyAlignment="1">
      <alignment horizontal="center" vertical="center" wrapText="1"/>
    </xf>
    <xf numFmtId="0" fontId="17" fillId="0" borderId="30" xfId="0" applyFont="1" applyFill="1" applyBorder="1" applyAlignment="1" applyProtection="1">
      <alignment horizontal="left" vertical="top" wrapText="1"/>
      <protection locked="0"/>
    </xf>
    <xf numFmtId="0" fontId="5" fillId="0" borderId="30" xfId="0" applyFont="1" applyFill="1" applyBorder="1" applyAlignment="1">
      <alignment horizontal="center" vertical="center" wrapText="1"/>
    </xf>
    <xf numFmtId="0" fontId="6" fillId="0" borderId="35" xfId="0" applyFont="1" applyFill="1" applyBorder="1" applyAlignment="1" applyProtection="1">
      <alignment horizontal="left" vertical="center" wrapText="1"/>
      <protection locked="0"/>
    </xf>
    <xf numFmtId="0" fontId="5" fillId="12" borderId="35" xfId="0" applyFont="1" applyFill="1" applyBorder="1" applyAlignment="1">
      <alignment horizontal="center" vertical="center" wrapText="1"/>
    </xf>
    <xf numFmtId="0" fontId="8" fillId="9" borderId="35" xfId="0" applyFont="1" applyFill="1" applyBorder="1" applyAlignment="1">
      <alignment horizontal="center" vertical="center" wrapText="1"/>
    </xf>
    <xf numFmtId="0" fontId="8" fillId="9" borderId="25" xfId="0" applyFont="1" applyFill="1" applyBorder="1" applyAlignment="1">
      <alignment horizontal="center" vertical="center" wrapText="1"/>
    </xf>
    <xf numFmtId="0" fontId="5" fillId="11" borderId="37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left" vertical="center" wrapText="1"/>
      <protection locked="0"/>
    </xf>
    <xf numFmtId="0" fontId="5" fillId="16" borderId="31" xfId="0" applyFont="1" applyFill="1" applyBorder="1" applyAlignment="1" applyProtection="1">
      <alignment horizontal="right" vertical="center" wrapText="1"/>
      <protection locked="0"/>
    </xf>
    <xf numFmtId="0" fontId="5" fillId="16" borderId="1" xfId="0" applyFont="1" applyFill="1" applyBorder="1" applyAlignment="1" applyProtection="1">
      <alignment horizontal="right" vertical="center" wrapText="1"/>
      <protection locked="0"/>
    </xf>
    <xf numFmtId="4" fontId="5" fillId="18" borderId="32" xfId="0" applyNumberFormat="1" applyFont="1" applyFill="1" applyBorder="1" applyAlignment="1" applyProtection="1">
      <alignment horizontal="right" vertical="center" wrapText="1"/>
      <protection locked="0"/>
    </xf>
    <xf numFmtId="4" fontId="5" fillId="18" borderId="30" xfId="0" applyNumberFormat="1" applyFont="1" applyFill="1" applyBorder="1" applyAlignment="1">
      <alignment horizontal="right" vertical="center" wrapText="1"/>
    </xf>
    <xf numFmtId="0" fontId="6" fillId="0" borderId="4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7" borderId="4" xfId="0" applyFont="1" applyFill="1" applyBorder="1" applyAlignment="1" applyProtection="1">
      <alignment horizontal="left" vertical="center"/>
      <protection locked="0"/>
    </xf>
    <xf numFmtId="0" fontId="11" fillId="0" borderId="4" xfId="0" applyFont="1" applyFill="1" applyBorder="1" applyAlignment="1">
      <alignment vertical="center" wrapText="1"/>
    </xf>
    <xf numFmtId="0" fontId="5" fillId="11" borderId="13" xfId="0" applyFont="1" applyFill="1" applyBorder="1" applyAlignment="1">
      <alignment horizontal="center" vertical="center"/>
    </xf>
    <xf numFmtId="0" fontId="6" fillId="0" borderId="38" xfId="55" applyFont="1" applyBorder="1" applyAlignment="1">
      <alignment horizontal="left" vertical="top" wrapText="1"/>
    </xf>
    <xf numFmtId="0" fontId="6" fillId="0" borderId="24" xfId="54" applyFont="1" applyBorder="1" applyAlignment="1">
      <alignment horizontal="left" vertical="top"/>
    </xf>
    <xf numFmtId="0" fontId="6" fillId="0" borderId="25" xfId="54" applyFont="1" applyBorder="1" applyAlignment="1">
      <alignment vertical="top" wrapText="1"/>
    </xf>
    <xf numFmtId="0" fontId="5" fillId="0" borderId="12" xfId="54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center" vertical="center" wrapText="1"/>
    </xf>
    <xf numFmtId="0" fontId="10" fillId="7" borderId="7" xfId="0" applyFont="1" applyFill="1" applyBorder="1" applyAlignment="1">
      <alignment vertical="center"/>
    </xf>
    <xf numFmtId="0" fontId="5" fillId="7" borderId="8" xfId="0" applyFont="1" applyFill="1" applyBorder="1" applyAlignment="1">
      <alignment vertical="center"/>
    </xf>
    <xf numFmtId="0" fontId="19" fillId="0" borderId="5" xfId="0" applyFont="1" applyFill="1" applyBorder="1" applyAlignment="1">
      <alignment horizontal="left" vertical="center" wrapText="1"/>
    </xf>
    <xf numFmtId="0" fontId="19" fillId="0" borderId="6" xfId="0" applyFont="1" applyFill="1" applyBorder="1" applyAlignment="1">
      <alignment horizontal="left" vertical="center"/>
    </xf>
    <xf numFmtId="0" fontId="14" fillId="11" borderId="19" xfId="0" applyFont="1" applyFill="1" applyBorder="1" applyAlignment="1">
      <alignment horizontal="left" vertical="top" wrapText="1"/>
    </xf>
    <xf numFmtId="0" fontId="8" fillId="11" borderId="20" xfId="0" applyFont="1" applyFill="1" applyBorder="1" applyAlignment="1">
      <alignment horizontal="left" vertical="top" wrapText="1"/>
    </xf>
    <xf numFmtId="0" fontId="14" fillId="0" borderId="12" xfId="0" applyFont="1" applyFill="1" applyBorder="1" applyAlignment="1">
      <alignment horizontal="right" vertical="top" wrapText="1"/>
    </xf>
    <xf numFmtId="0" fontId="6" fillId="0" borderId="13" xfId="0" applyFont="1" applyFill="1" applyBorder="1" applyAlignment="1">
      <alignment horizontal="left" vertical="top" wrapText="1"/>
    </xf>
    <xf numFmtId="0" fontId="14" fillId="0" borderId="14" xfId="0" applyFont="1" applyFill="1" applyBorder="1" applyAlignment="1">
      <alignment horizontal="right" vertical="top" wrapText="1"/>
    </xf>
    <xf numFmtId="0" fontId="14" fillId="0" borderId="17" xfId="0" applyFont="1" applyFill="1" applyBorder="1" applyAlignment="1">
      <alignment horizontal="right" vertical="top" wrapText="1"/>
    </xf>
    <xf numFmtId="0" fontId="8" fillId="0" borderId="15" xfId="0" applyFont="1" applyFill="1" applyBorder="1" applyAlignment="1">
      <alignment horizontal="left" vertical="top" wrapText="1"/>
    </xf>
    <xf numFmtId="0" fontId="5" fillId="8" borderId="2" xfId="0" applyFont="1" applyFill="1" applyBorder="1" applyAlignment="1">
      <alignment horizontal="center" vertical="center"/>
    </xf>
    <xf numFmtId="0" fontId="21" fillId="10" borderId="3" xfId="0" applyFont="1" applyFill="1" applyBorder="1" applyAlignment="1">
      <alignment horizontal="left" vertical="top" wrapText="1"/>
    </xf>
    <xf numFmtId="0" fontId="21" fillId="10" borderId="4" xfId="0" applyFont="1" applyFill="1" applyBorder="1" applyAlignment="1">
      <alignment horizontal="left" vertical="top" wrapText="1"/>
    </xf>
    <xf numFmtId="0" fontId="5" fillId="11" borderId="20" xfId="0" applyNumberFormat="1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left" vertical="top" wrapText="1"/>
    </xf>
    <xf numFmtId="0" fontId="6" fillId="0" borderId="13" xfId="54" applyFont="1" applyFill="1" applyBorder="1" applyAlignment="1" applyProtection="1">
      <alignment horizontal="left" vertical="top" wrapText="1"/>
    </xf>
    <xf numFmtId="0" fontId="5" fillId="0" borderId="14" xfId="54" applyFont="1" applyFill="1" applyBorder="1" applyAlignment="1" applyProtection="1">
      <alignment horizontal="left" vertical="top" wrapText="1"/>
    </xf>
    <xf numFmtId="0" fontId="6" fillId="0" borderId="15" xfId="54" applyFont="1" applyFill="1" applyBorder="1" applyAlignment="1" applyProtection="1">
      <alignment horizontal="left" vertical="top" wrapText="1"/>
    </xf>
    <xf numFmtId="0" fontId="5" fillId="0" borderId="14" xfId="54" applyFont="1" applyFill="1" applyBorder="1" applyProtection="1"/>
    <xf numFmtId="0" fontId="6" fillId="0" borderId="15" xfId="54" applyFont="1" applyFill="1" applyBorder="1" applyAlignment="1" applyProtection="1">
      <alignment horizontal="left" vertical="top"/>
    </xf>
    <xf numFmtId="0" fontId="5" fillId="0" borderId="14" xfId="55" applyFont="1" applyFill="1" applyBorder="1" applyAlignment="1">
      <alignment horizontal="left" vertical="top" wrapText="1"/>
    </xf>
    <xf numFmtId="0" fontId="6" fillId="0" borderId="15" xfId="55" applyFont="1" applyFill="1" applyBorder="1" applyAlignment="1">
      <alignment horizontal="left" vertical="top" wrapText="1"/>
    </xf>
    <xf numFmtId="0" fontId="6" fillId="0" borderId="38" xfId="55" applyFont="1" applyFill="1" applyBorder="1" applyAlignment="1">
      <alignment horizontal="left" vertical="top" wrapText="1"/>
    </xf>
    <xf numFmtId="0" fontId="5" fillId="0" borderId="24" xfId="55" applyFont="1" applyFill="1" applyBorder="1" applyAlignment="1">
      <alignment horizontal="left" vertical="top" wrapText="1"/>
    </xf>
    <xf numFmtId="0" fontId="6" fillId="0" borderId="34" xfId="55" applyFont="1" applyFill="1" applyBorder="1" applyAlignment="1">
      <alignment horizontal="left" vertical="top" wrapText="1"/>
    </xf>
    <xf numFmtId="0" fontId="22" fillId="0" borderId="24" xfId="0" applyFont="1" applyFill="1" applyBorder="1" applyAlignment="1">
      <alignment horizontal="left" vertical="center"/>
    </xf>
    <xf numFmtId="0" fontId="6" fillId="0" borderId="25" xfId="54" applyFont="1" applyFill="1" applyBorder="1" applyAlignment="1" applyProtection="1">
      <alignment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 applyProtection="1">
      <alignment horizontal="left" vertical="top" wrapText="1"/>
      <protection locked="0"/>
    </xf>
    <xf numFmtId="0" fontId="5" fillId="12" borderId="18" xfId="0" applyFont="1" applyFill="1" applyBorder="1" applyAlignment="1">
      <alignment horizontal="center" vertical="center" wrapText="1"/>
    </xf>
    <xf numFmtId="0" fontId="18" fillId="0" borderId="35" xfId="0" applyFont="1" applyFill="1" applyBorder="1" applyAlignment="1" applyProtection="1">
      <alignment horizontal="left" vertical="top" wrapText="1"/>
      <protection locked="0"/>
    </xf>
    <xf numFmtId="0" fontId="5" fillId="0" borderId="25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0" fontId="6" fillId="0" borderId="39" xfId="0" applyFont="1" applyFill="1" applyBorder="1" applyAlignment="1" applyProtection="1">
      <alignment horizontal="left" vertical="center" wrapText="1"/>
      <protection locked="0"/>
    </xf>
    <xf numFmtId="0" fontId="5" fillId="9" borderId="15" xfId="0" applyFont="1" applyFill="1" applyBorder="1" applyAlignment="1">
      <alignment horizontal="center" vertical="center" wrapText="1"/>
    </xf>
    <xf numFmtId="4" fontId="5" fillId="18" borderId="15" xfId="0" applyNumberFormat="1" applyFont="1" applyFill="1" applyBorder="1" applyAlignment="1" applyProtection="1">
      <alignment horizontal="right" vertical="center" wrapText="1"/>
      <protection locked="0"/>
    </xf>
    <xf numFmtId="4" fontId="5" fillId="18" borderId="15" xfId="0" applyNumberFormat="1" applyFont="1" applyFill="1" applyBorder="1" applyAlignment="1">
      <alignment horizontal="right" vertical="center" wrapText="1"/>
    </xf>
    <xf numFmtId="4" fontId="5" fillId="0" borderId="15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15" xfId="0" applyNumberFormat="1" applyFont="1" applyFill="1" applyBorder="1" applyAlignment="1">
      <alignment horizontal="right" vertical="center" wrapText="1"/>
    </xf>
    <xf numFmtId="0" fontId="5" fillId="7" borderId="8" xfId="0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>
      <alignment vertical="center"/>
    </xf>
    <xf numFmtId="0" fontId="8" fillId="11" borderId="40" xfId="0" applyFont="1" applyFill="1" applyBorder="1" applyAlignment="1">
      <alignment horizontal="center" vertical="center"/>
    </xf>
    <xf numFmtId="0" fontId="6" fillId="21" borderId="13" xfId="0" applyFont="1" applyFill="1" applyBorder="1" applyAlignment="1">
      <alignment horizontal="left" vertical="top" wrapText="1" indent="1"/>
    </xf>
    <xf numFmtId="0" fontId="6" fillId="0" borderId="39" xfId="0" applyFont="1" applyFill="1" applyBorder="1" applyAlignment="1">
      <alignment horizontal="center" vertical="center"/>
    </xf>
    <xf numFmtId="0" fontId="6" fillId="21" borderId="15" xfId="0" applyFont="1" applyFill="1" applyBorder="1" applyAlignment="1">
      <alignment horizontal="left" vertical="top" wrapText="1" indent="1"/>
    </xf>
    <xf numFmtId="0" fontId="14" fillId="0" borderId="15" xfId="0" applyFont="1" applyFill="1" applyBorder="1" applyAlignment="1">
      <alignment horizontal="left" vertical="top" wrapText="1" indent="1"/>
    </xf>
    <xf numFmtId="0" fontId="8" fillId="0" borderId="15" xfId="0" applyFont="1" applyFill="1" applyBorder="1" applyAlignment="1">
      <alignment horizontal="left" vertical="top" wrapText="1" indent="1"/>
    </xf>
    <xf numFmtId="0" fontId="14" fillId="0" borderId="32" xfId="0" applyFont="1" applyFill="1" applyBorder="1" applyAlignment="1">
      <alignment horizontal="center" vertical="center"/>
    </xf>
    <xf numFmtId="0" fontId="21" fillId="10" borderId="6" xfId="0" applyFont="1" applyFill="1" applyBorder="1" applyAlignment="1">
      <alignment vertical="top" wrapText="1"/>
    </xf>
    <xf numFmtId="0" fontId="5" fillId="12" borderId="13" xfId="0" applyFont="1" applyFill="1" applyBorder="1" applyAlignment="1" applyProtection="1">
      <alignment horizontal="center" vertical="center" wrapText="1"/>
    </xf>
    <xf numFmtId="0" fontId="23" fillId="0" borderId="31" xfId="0" applyFont="1" applyFill="1" applyBorder="1" applyAlignment="1" applyProtection="1">
      <alignment horizontal="left" vertical="center" wrapText="1"/>
      <protection locked="0"/>
    </xf>
    <xf numFmtId="0" fontId="5" fillId="12" borderId="15" xfId="0" applyFont="1" applyFill="1" applyBorder="1" applyAlignment="1" applyProtection="1">
      <alignment horizontal="center" vertical="center" wrapText="1"/>
    </xf>
    <xf numFmtId="0" fontId="6" fillId="0" borderId="15" xfId="11" applyFont="1" applyFill="1" applyBorder="1" applyAlignment="1">
      <alignment horizontal="left" vertical="top" wrapText="1"/>
    </xf>
    <xf numFmtId="0" fontId="5" fillId="9" borderId="15" xfId="0" applyFont="1" applyFill="1" applyBorder="1" applyAlignment="1" applyProtection="1">
      <alignment horizontal="center" vertical="center" wrapText="1"/>
    </xf>
    <xf numFmtId="0" fontId="24" fillId="0" borderId="15" xfId="54" applyFont="1" applyFill="1" applyBorder="1" applyAlignment="1">
      <alignment horizontal="left" vertical="top" wrapText="1"/>
    </xf>
    <xf numFmtId="0" fontId="24" fillId="0" borderId="31" xfId="54" applyFont="1" applyFill="1" applyBorder="1" applyAlignment="1">
      <alignment horizontal="left" vertical="top" wrapText="1"/>
    </xf>
    <xf numFmtId="0" fontId="23" fillId="0" borderId="41" xfId="54" applyFont="1" applyFill="1" applyBorder="1" applyAlignment="1">
      <alignment horizontal="left" vertical="top" wrapText="1"/>
    </xf>
    <xf numFmtId="0" fontId="5" fillId="9" borderId="25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top" wrapText="1"/>
    </xf>
    <xf numFmtId="0" fontId="6" fillId="0" borderId="41" xfId="0" applyFont="1" applyFill="1" applyBorder="1" applyAlignment="1">
      <alignment horizontal="left" vertical="top" wrapText="1"/>
    </xf>
    <xf numFmtId="0" fontId="5" fillId="0" borderId="42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4" xfId="52" applyFont="1" applyFill="1" applyBorder="1" applyAlignment="1">
      <alignment horizontal="left" vertical="center"/>
    </xf>
    <xf numFmtId="0" fontId="6" fillId="0" borderId="38" xfId="27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7" fillId="7" borderId="4" xfId="0" applyFont="1" applyFill="1" applyBorder="1" applyAlignment="1">
      <alignment horizontal="left" vertical="center"/>
    </xf>
    <xf numFmtId="0" fontId="19" fillId="0" borderId="3" xfId="0" applyFont="1" applyFill="1" applyBorder="1" applyAlignment="1">
      <alignment horizontal="left" vertical="center" wrapText="1"/>
    </xf>
    <xf numFmtId="0" fontId="25" fillId="0" borderId="4" xfId="0" applyFont="1" applyFill="1" applyBorder="1" applyAlignment="1">
      <alignment horizontal="left" vertical="center"/>
    </xf>
    <xf numFmtId="0" fontId="5" fillId="0" borderId="33" xfId="54" applyFont="1" applyBorder="1" applyAlignment="1">
      <alignment vertical="top"/>
    </xf>
    <xf numFmtId="0" fontId="6" fillId="0" borderId="13" xfId="54" applyFont="1" applyBorder="1" applyAlignment="1">
      <alignment horizontal="left" vertical="top" wrapText="1"/>
    </xf>
    <xf numFmtId="0" fontId="5" fillId="0" borderId="14" xfId="0" applyFont="1" applyFill="1" applyBorder="1" applyAlignment="1">
      <alignment vertical="center" wrapText="1"/>
    </xf>
    <xf numFmtId="0" fontId="6" fillId="0" borderId="31" xfId="0" applyFont="1" applyFill="1" applyBorder="1" applyAlignment="1"/>
    <xf numFmtId="0" fontId="6" fillId="0" borderId="31" xfId="0" applyFont="1" applyFill="1" applyBorder="1" applyAlignment="1">
      <alignment wrapText="1"/>
    </xf>
    <xf numFmtId="0" fontId="26" fillId="0" borderId="14" xfId="54" applyFont="1" applyBorder="1" applyAlignment="1">
      <alignment horizontal="left" vertical="top"/>
    </xf>
    <xf numFmtId="0" fontId="5" fillId="0" borderId="14" xfId="54" applyFont="1" applyBorder="1" applyAlignment="1">
      <alignment vertical="top" wrapText="1"/>
    </xf>
    <xf numFmtId="0" fontId="5" fillId="8" borderId="14" xfId="54" applyFont="1" applyFill="1" applyBorder="1" applyAlignment="1">
      <alignment vertical="top"/>
    </xf>
    <xf numFmtId="0" fontId="5" fillId="0" borderId="24" xfId="0" applyFont="1" applyFill="1" applyBorder="1" applyAlignment="1">
      <alignment horizontal="left" vertical="top"/>
    </xf>
    <xf numFmtId="0" fontId="6" fillId="0" borderId="0" xfId="0" applyFont="1" applyFill="1" applyAlignment="1">
      <alignment horizontal="left" vertical="top" wrapText="1"/>
    </xf>
    <xf numFmtId="0" fontId="6" fillId="0" borderId="17" xfId="0" applyFont="1" applyFill="1" applyBorder="1" applyAlignment="1"/>
    <xf numFmtId="0" fontId="6" fillId="0" borderId="18" xfId="0" applyFont="1" applyFill="1" applyBorder="1" applyAlignment="1"/>
    <xf numFmtId="0" fontId="5" fillId="22" borderId="43" xfId="0" applyFont="1" applyFill="1" applyBorder="1" applyAlignment="1">
      <alignment horizontal="left" vertical="center"/>
    </xf>
    <xf numFmtId="0" fontId="5" fillId="22" borderId="42" xfId="0" applyFont="1" applyFill="1" applyBorder="1" applyAlignment="1">
      <alignment horizontal="left" vertical="center"/>
    </xf>
    <xf numFmtId="0" fontId="5" fillId="0" borderId="14" xfId="54" applyFont="1" applyFill="1" applyBorder="1" applyAlignment="1">
      <alignment horizontal="left" vertical="center"/>
    </xf>
    <xf numFmtId="0" fontId="6" fillId="0" borderId="15" xfId="0" applyFont="1" applyFill="1" applyBorder="1" applyAlignment="1">
      <alignment vertical="center" wrapText="1"/>
    </xf>
    <xf numFmtId="0" fontId="5" fillId="0" borderId="7" xfId="54" applyFont="1" applyFill="1" applyBorder="1" applyAlignment="1">
      <alignment horizontal="left" vertical="center"/>
    </xf>
    <xf numFmtId="0" fontId="6" fillId="0" borderId="8" xfId="0" applyFont="1" applyFill="1" applyBorder="1" applyAlignment="1">
      <alignment vertical="center" wrapText="1"/>
    </xf>
    <xf numFmtId="0" fontId="7" fillId="23" borderId="3" xfId="54" applyFont="1" applyFill="1" applyBorder="1" applyAlignment="1">
      <alignment horizontal="left" vertical="center"/>
    </xf>
    <xf numFmtId="0" fontId="7" fillId="23" borderId="4" xfId="54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left" vertical="top" wrapText="1"/>
    </xf>
    <xf numFmtId="0" fontId="5" fillId="7" borderId="44" xfId="0" applyFont="1" applyFill="1" applyBorder="1" applyAlignment="1">
      <alignment horizontal="left" vertical="center"/>
    </xf>
    <xf numFmtId="0" fontId="5" fillId="7" borderId="45" xfId="0" applyFon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center" vertical="center" wrapText="1"/>
    </xf>
    <xf numFmtId="0" fontId="5" fillId="24" borderId="15" xfId="0" applyFont="1" applyFill="1" applyBorder="1" applyAlignment="1">
      <alignment vertical="center"/>
    </xf>
    <xf numFmtId="0" fontId="27" fillId="0" borderId="14" xfId="0" applyFont="1" applyFill="1" applyBorder="1" applyAlignment="1">
      <alignment horizontal="left" vertical="center"/>
    </xf>
    <xf numFmtId="0" fontId="28" fillId="0" borderId="15" xfId="0" applyFont="1" applyFill="1" applyBorder="1" applyAlignment="1">
      <alignment vertical="center"/>
    </xf>
    <xf numFmtId="0" fontId="6" fillId="0" borderId="17" xfId="0" applyFont="1" applyFill="1" applyBorder="1" applyAlignment="1">
      <alignment horizontal="left" vertical="center" wrapText="1"/>
    </xf>
    <xf numFmtId="0" fontId="5" fillId="7" borderId="43" xfId="0" applyFont="1" applyFill="1" applyBorder="1" applyAlignment="1">
      <alignment horizontal="left" vertical="center"/>
    </xf>
    <xf numFmtId="0" fontId="5" fillId="7" borderId="42" xfId="0" applyFont="1" applyFill="1" applyBorder="1" applyAlignment="1">
      <alignment horizontal="left" vertical="center"/>
    </xf>
    <xf numFmtId="0" fontId="5" fillId="25" borderId="11" xfId="0" applyFont="1" applyFill="1" applyBorder="1" applyAlignment="1">
      <alignment horizontal="center" vertical="center" wrapText="1"/>
    </xf>
    <xf numFmtId="4" fontId="5" fillId="25" borderId="0" xfId="0" applyNumberFormat="1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7" fillId="7" borderId="3" xfId="0" applyFont="1" applyFill="1" applyBorder="1" applyAlignment="1">
      <alignment horizontal="left" vertical="center"/>
    </xf>
    <xf numFmtId="0" fontId="25" fillId="10" borderId="5" xfId="0" applyFont="1" applyFill="1" applyBorder="1" applyAlignment="1">
      <alignment horizontal="left" vertical="center"/>
    </xf>
    <xf numFmtId="0" fontId="25" fillId="10" borderId="6" xfId="0" applyFont="1" applyFill="1" applyBorder="1" applyAlignment="1">
      <alignment horizontal="left" vertical="center"/>
    </xf>
    <xf numFmtId="4" fontId="5" fillId="0" borderId="6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6" xfId="0" applyNumberFormat="1" applyFont="1" applyFill="1" applyBorder="1" applyAlignment="1">
      <alignment horizontal="right" vertical="center" wrapText="1"/>
    </xf>
    <xf numFmtId="0" fontId="13" fillId="0" borderId="6" xfId="0" applyFont="1" applyFill="1" applyBorder="1" applyAlignment="1" applyProtection="1">
      <alignment horizontal="left" vertical="center"/>
      <protection locked="0"/>
    </xf>
    <xf numFmtId="0" fontId="13" fillId="0" borderId="6" xfId="0" applyFont="1" applyFill="1" applyBorder="1" applyAlignment="1">
      <alignment horizontal="left" vertical="center"/>
    </xf>
    <xf numFmtId="0" fontId="6" fillId="12" borderId="13" xfId="0" applyFont="1" applyFill="1" applyBorder="1" applyAlignment="1">
      <alignment horizontal="center" vertical="center"/>
    </xf>
    <xf numFmtId="0" fontId="6" fillId="12" borderId="15" xfId="0" applyFont="1" applyFill="1" applyBorder="1" applyAlignment="1">
      <alignment horizontal="center" vertical="center"/>
    </xf>
    <xf numFmtId="0" fontId="4" fillId="16" borderId="25" xfId="0" applyFont="1" applyFill="1" applyBorder="1" applyAlignment="1" applyProtection="1">
      <alignment horizontal="left" vertical="center" wrapText="1"/>
      <protection locked="0"/>
    </xf>
    <xf numFmtId="0" fontId="6" fillId="16" borderId="25" xfId="0" applyFont="1" applyFill="1" applyBorder="1" applyAlignment="1" applyProtection="1">
      <alignment vertical="top" wrapText="1"/>
      <protection locked="0"/>
    </xf>
    <xf numFmtId="0" fontId="6" fillId="16" borderId="15" xfId="0" applyFont="1" applyFill="1" applyBorder="1" applyAlignment="1" applyProtection="1">
      <alignment horizontal="left" vertical="top" wrapText="1"/>
      <protection locked="0"/>
    </xf>
    <xf numFmtId="0" fontId="6" fillId="12" borderId="15" xfId="0" applyFont="1" applyFill="1" applyBorder="1" applyAlignment="1">
      <alignment horizontal="center" vertical="top"/>
    </xf>
    <xf numFmtId="0" fontId="1" fillId="0" borderId="25" xfId="0" applyFont="1" applyFill="1" applyBorder="1" applyAlignment="1" applyProtection="1">
      <alignment horizontal="left" vertical="top" wrapText="1"/>
      <protection locked="0"/>
    </xf>
    <xf numFmtId="0" fontId="6" fillId="12" borderId="25" xfId="0" applyFont="1" applyFill="1" applyBorder="1" applyAlignment="1">
      <alignment horizontal="center" vertical="center"/>
    </xf>
    <xf numFmtId="0" fontId="5" fillId="0" borderId="32" xfId="0" applyFont="1" applyFill="1" applyBorder="1" applyAlignment="1" applyProtection="1">
      <alignment horizontal="right" vertical="center" wrapText="1"/>
      <protection locked="0"/>
    </xf>
    <xf numFmtId="0" fontId="5" fillId="0" borderId="30" xfId="0" applyFont="1" applyFill="1" applyBorder="1" applyAlignment="1" applyProtection="1">
      <alignment horizontal="right" vertical="center" wrapText="1"/>
      <protection locked="0"/>
    </xf>
    <xf numFmtId="0" fontId="5" fillId="22" borderId="42" xfId="0" applyFont="1" applyFill="1" applyBorder="1" applyAlignment="1" applyProtection="1">
      <alignment horizontal="left" vertical="center"/>
      <protection locked="0"/>
    </xf>
    <xf numFmtId="0" fontId="6" fillId="0" borderId="8" xfId="0" applyFont="1" applyFill="1" applyBorder="1" applyAlignment="1" applyProtection="1">
      <alignment horizontal="left" vertical="center" wrapText="1"/>
      <protection locked="0"/>
    </xf>
    <xf numFmtId="0" fontId="5" fillId="12" borderId="8" xfId="0" applyFont="1" applyFill="1" applyBorder="1" applyAlignment="1">
      <alignment horizontal="center" vertical="center" wrapText="1"/>
    </xf>
    <xf numFmtId="0" fontId="5" fillId="23" borderId="0" xfId="0" applyFont="1" applyFill="1" applyBorder="1" applyAlignment="1">
      <alignment horizontal="center" vertical="center" wrapText="1"/>
    </xf>
    <xf numFmtId="0" fontId="14" fillId="0" borderId="15" xfId="0" applyFont="1" applyFill="1" applyBorder="1" applyAlignment="1">
      <alignment vertical="center" wrapText="1"/>
    </xf>
    <xf numFmtId="0" fontId="14" fillId="16" borderId="15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right" vertical="center" wrapText="1"/>
      <protection locked="0"/>
    </xf>
    <xf numFmtId="0" fontId="5" fillId="7" borderId="45" xfId="0" applyFont="1" applyFill="1" applyBorder="1" applyAlignment="1" applyProtection="1">
      <alignment horizontal="left" vertical="center"/>
      <protection locked="0"/>
    </xf>
    <xf numFmtId="0" fontId="6" fillId="16" borderId="15" xfId="0" applyFont="1" applyFill="1" applyBorder="1" applyAlignment="1" applyProtection="1">
      <alignment horizontal="left" vertical="center" wrapText="1"/>
      <protection locked="0"/>
    </xf>
    <xf numFmtId="0" fontId="6" fillId="0" borderId="15" xfId="0" applyFont="1" applyFill="1" applyBorder="1" applyAlignment="1">
      <alignment vertical="top" wrapText="1"/>
    </xf>
    <xf numFmtId="0" fontId="6" fillId="16" borderId="41" xfId="0" applyFont="1" applyFill="1" applyBorder="1" applyAlignment="1" applyProtection="1">
      <alignment horizontal="left" vertical="top" wrapText="1"/>
      <protection locked="0"/>
    </xf>
    <xf numFmtId="4" fontId="5" fillId="0" borderId="0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0" xfId="0" applyNumberFormat="1" applyFont="1" applyFill="1" applyBorder="1" applyAlignment="1">
      <alignment horizontal="right" vertical="center" wrapText="1"/>
    </xf>
    <xf numFmtId="0" fontId="5" fillId="7" borderId="42" xfId="0" applyFont="1" applyFill="1" applyBorder="1" applyAlignment="1" applyProtection="1">
      <alignment horizontal="left" vertical="center"/>
      <protection locked="0"/>
    </xf>
    <xf numFmtId="0" fontId="5" fillId="0" borderId="1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 applyProtection="1">
      <alignment horizontal="left" vertical="center" wrapText="1"/>
      <protection locked="0"/>
    </xf>
    <xf numFmtId="0" fontId="5" fillId="0" borderId="6" xfId="0" applyFont="1" applyFill="1" applyBorder="1" applyAlignment="1">
      <alignment horizontal="center" vertical="center"/>
    </xf>
    <xf numFmtId="4" fontId="5" fillId="25" borderId="0" xfId="0" applyNumberFormat="1" applyFont="1" applyFill="1" applyBorder="1" applyAlignment="1">
      <alignment horizontal="right" vertical="center"/>
    </xf>
    <xf numFmtId="0" fontId="5" fillId="25" borderId="0" xfId="0" applyFont="1" applyFill="1" applyBorder="1" applyAlignment="1">
      <alignment horizontal="center" vertical="center"/>
    </xf>
    <xf numFmtId="4" fontId="5" fillId="0" borderId="8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8" xfId="0" applyNumberFormat="1" applyFont="1" applyFill="1" applyBorder="1" applyAlignment="1">
      <alignment horizontal="right" vertical="center" wrapText="1"/>
    </xf>
    <xf numFmtId="0" fontId="13" fillId="10" borderId="6" xfId="0" applyFont="1" applyFill="1" applyBorder="1" applyAlignment="1" applyProtection="1">
      <alignment horizontal="left" vertical="center"/>
      <protection locked="0"/>
    </xf>
    <xf numFmtId="0" fontId="13" fillId="10" borderId="6" xfId="0" applyFont="1" applyFill="1" applyBorder="1" applyAlignment="1">
      <alignment horizontal="left" vertical="center"/>
    </xf>
    <xf numFmtId="0" fontId="5" fillId="0" borderId="23" xfId="0" applyFont="1" applyFill="1" applyBorder="1" applyAlignment="1">
      <alignment vertical="top"/>
    </xf>
    <xf numFmtId="0" fontId="5" fillId="0" borderId="14" xfId="0" applyFont="1" applyFill="1" applyBorder="1" applyAlignment="1">
      <alignment vertical="top"/>
    </xf>
    <xf numFmtId="0" fontId="5" fillId="0" borderId="14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7" borderId="43" xfId="53" applyFont="1" applyFill="1" applyBorder="1" applyAlignment="1">
      <alignment vertical="center"/>
    </xf>
    <xf numFmtId="0" fontId="5" fillId="7" borderId="42" xfId="53" applyFont="1" applyFill="1" applyBorder="1" applyAlignment="1">
      <alignment vertical="center"/>
    </xf>
    <xf numFmtId="0" fontId="8" fillId="0" borderId="14" xfId="53" applyFont="1" applyBorder="1" applyAlignment="1">
      <alignment horizontal="left" vertical="center" wrapText="1"/>
    </xf>
    <xf numFmtId="0" fontId="5" fillId="24" borderId="15" xfId="53" applyFont="1" applyFill="1" applyBorder="1" applyAlignment="1">
      <alignment horizontal="center" vertical="center" wrapText="1"/>
    </xf>
    <xf numFmtId="0" fontId="5" fillId="0" borderId="14" xfId="53" applyFont="1" applyBorder="1" applyAlignment="1">
      <alignment horizontal="left" vertical="center" wrapText="1"/>
    </xf>
    <xf numFmtId="0" fontId="14" fillId="0" borderId="15" xfId="53" applyFont="1" applyBorder="1" applyAlignment="1">
      <alignment horizontal="left" vertical="center" wrapText="1"/>
    </xf>
    <xf numFmtId="0" fontId="6" fillId="0" borderId="15" xfId="53" applyFont="1" applyBorder="1" applyAlignment="1">
      <alignment horizontal="left" vertical="center" wrapText="1"/>
    </xf>
    <xf numFmtId="0" fontId="6" fillId="0" borderId="14" xfId="53" applyFont="1" applyBorder="1" applyAlignment="1">
      <alignment horizontal="left" vertical="center" wrapText="1"/>
    </xf>
    <xf numFmtId="0" fontId="6" fillId="0" borderId="14" xfId="53" applyFont="1" applyBorder="1" applyAlignment="1">
      <alignment horizontal="left" vertical="center"/>
    </xf>
    <xf numFmtId="0" fontId="6" fillId="8" borderId="15" xfId="53" applyFont="1" applyFill="1" applyBorder="1" applyAlignment="1">
      <alignment horizontal="left" vertical="center" wrapText="1"/>
    </xf>
    <xf numFmtId="0" fontId="6" fillId="8" borderId="15" xfId="53" applyFont="1" applyFill="1" applyBorder="1" applyAlignment="1">
      <alignment horizontal="left" vertical="top" wrapText="1"/>
    </xf>
    <xf numFmtId="0" fontId="5" fillId="0" borderId="14" xfId="53" applyFont="1" applyBorder="1" applyAlignment="1">
      <alignment horizontal="center" vertical="center" wrapText="1"/>
    </xf>
    <xf numFmtId="0" fontId="29" fillId="0" borderId="16" xfId="53" applyFont="1" applyBorder="1" applyAlignment="1">
      <alignment horizontal="left" vertical="center" wrapText="1"/>
    </xf>
    <xf numFmtId="0" fontId="29" fillId="0" borderId="38" xfId="53" applyFont="1" applyBorder="1" applyAlignment="1">
      <alignment horizontal="left" vertical="center" wrapText="1"/>
    </xf>
    <xf numFmtId="0" fontId="30" fillId="0" borderId="7" xfId="53" applyFont="1" applyBorder="1" applyAlignment="1">
      <alignment vertical="center" wrapText="1"/>
    </xf>
    <xf numFmtId="0" fontId="30" fillId="0" borderId="46" xfId="53" applyFont="1" applyBorder="1" applyAlignment="1">
      <alignment vertical="center" wrapText="1"/>
    </xf>
    <xf numFmtId="0" fontId="5" fillId="0" borderId="14" xfId="0" applyFont="1" applyFill="1" applyBorder="1" applyAlignment="1">
      <alignment wrapText="1"/>
    </xf>
    <xf numFmtId="0" fontId="6" fillId="0" borderId="15" xfId="0" applyNumberFormat="1" applyFont="1" applyFill="1" applyBorder="1" applyAlignment="1" applyProtection="1">
      <alignment horizontal="left" vertical="center" wrapText="1"/>
    </xf>
    <xf numFmtId="0" fontId="6" fillId="0" borderId="17" xfId="0" applyFont="1" applyFill="1" applyBorder="1" applyAlignment="1">
      <alignment vertical="center" wrapText="1"/>
    </xf>
    <xf numFmtId="176" fontId="5" fillId="24" borderId="43" xfId="0" applyNumberFormat="1" applyFont="1" applyFill="1" applyBorder="1" applyAlignment="1">
      <alignment horizontal="left" vertical="center" wrapText="1"/>
    </xf>
    <xf numFmtId="176" fontId="5" fillId="24" borderId="42" xfId="0" applyNumberFormat="1" applyFont="1" applyFill="1" applyBorder="1" applyAlignment="1">
      <alignment horizontal="left" vertical="center" wrapText="1"/>
    </xf>
    <xf numFmtId="0" fontId="31" fillId="0" borderId="12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/>
    </xf>
    <xf numFmtId="176" fontId="6" fillId="0" borderId="15" xfId="43" applyFont="1" applyBorder="1" applyAlignment="1">
      <alignment vertical="top" wrapText="1"/>
    </xf>
    <xf numFmtId="176" fontId="5" fillId="24" borderId="15" xfId="43" applyFont="1" applyFill="1" applyBorder="1" applyAlignment="1">
      <alignment horizontal="center" vertical="center" wrapText="1"/>
    </xf>
    <xf numFmtId="0" fontId="14" fillId="12" borderId="13" xfId="0" applyFont="1" applyFill="1" applyBorder="1" applyAlignment="1">
      <alignment horizontal="center" vertical="center"/>
    </xf>
    <xf numFmtId="0" fontId="14" fillId="16" borderId="25" xfId="0" applyFont="1" applyFill="1" applyBorder="1" applyAlignment="1" applyProtection="1">
      <alignment vertical="center" wrapText="1"/>
      <protection locked="0"/>
    </xf>
    <xf numFmtId="0" fontId="14" fillId="16" borderId="25" xfId="0" applyFont="1" applyFill="1" applyBorder="1" applyAlignment="1" applyProtection="1">
      <alignment horizontal="left" vertical="center" wrapText="1"/>
      <protection locked="0"/>
    </xf>
    <xf numFmtId="0" fontId="1" fillId="0" borderId="25" xfId="0" applyFont="1" applyFill="1" applyBorder="1" applyAlignment="1" applyProtection="1">
      <alignment horizontal="left" vertical="center" wrapText="1"/>
      <protection locked="0"/>
    </xf>
    <xf numFmtId="0" fontId="5" fillId="0" borderId="31" xfId="0" applyFont="1" applyFill="1" applyBorder="1" applyAlignment="1" applyProtection="1">
      <alignment horizontal="right" vertical="center" wrapText="1"/>
      <protection locked="0"/>
    </xf>
    <xf numFmtId="0" fontId="5" fillId="0" borderId="1" xfId="0" applyFont="1" applyFill="1" applyBorder="1" applyAlignment="1" applyProtection="1">
      <alignment horizontal="right" vertical="center" wrapText="1"/>
      <protection locked="0"/>
    </xf>
    <xf numFmtId="4" fontId="5" fillId="26" borderId="32" xfId="0" applyNumberFormat="1" applyFont="1" applyFill="1" applyBorder="1" applyAlignment="1" applyProtection="1">
      <alignment horizontal="right" vertical="center" wrapText="1"/>
      <protection locked="0"/>
    </xf>
    <xf numFmtId="4" fontId="5" fillId="26" borderId="30" xfId="0" applyNumberFormat="1" applyFont="1" applyFill="1" applyBorder="1" applyAlignment="1">
      <alignment horizontal="right" vertical="center" wrapText="1"/>
    </xf>
    <xf numFmtId="0" fontId="5" fillId="7" borderId="42" xfId="53" applyFont="1" applyFill="1" applyBorder="1" applyAlignment="1" applyProtection="1">
      <alignment vertical="center"/>
      <protection locked="0"/>
    </xf>
    <xf numFmtId="0" fontId="6" fillId="0" borderId="15" xfId="53" applyFont="1" applyBorder="1" applyAlignment="1" applyProtection="1">
      <alignment horizontal="left" vertical="center" wrapText="1"/>
      <protection locked="0"/>
    </xf>
    <xf numFmtId="0" fontId="5" fillId="0" borderId="15" xfId="53" applyFont="1" applyBorder="1" applyAlignment="1">
      <alignment horizontal="center" vertical="center"/>
    </xf>
    <xf numFmtId="0" fontId="14" fillId="16" borderId="15" xfId="53" applyFont="1" applyFill="1" applyBorder="1" applyAlignment="1" applyProtection="1">
      <alignment horizontal="left" vertical="center" wrapText="1"/>
      <protection locked="0"/>
    </xf>
    <xf numFmtId="0" fontId="5" fillId="9" borderId="15" xfId="53" applyFont="1" applyFill="1" applyBorder="1" applyAlignment="1">
      <alignment horizontal="center" vertical="center" wrapText="1"/>
    </xf>
    <xf numFmtId="0" fontId="6" fillId="16" borderId="15" xfId="53" applyFont="1" applyFill="1" applyBorder="1" applyAlignment="1" applyProtection="1">
      <alignment horizontal="left" vertical="center" wrapText="1"/>
      <protection locked="0"/>
    </xf>
    <xf numFmtId="0" fontId="5" fillId="12" borderId="15" xfId="53" applyFont="1" applyFill="1" applyBorder="1" applyAlignment="1">
      <alignment horizontal="center" vertical="center" wrapText="1"/>
    </xf>
    <xf numFmtId="0" fontId="5" fillId="0" borderId="15" xfId="53" applyFont="1" applyBorder="1" applyAlignment="1">
      <alignment horizontal="center" vertical="center" wrapText="1"/>
    </xf>
    <xf numFmtId="0" fontId="32" fillId="16" borderId="15" xfId="53" applyFont="1" applyFill="1" applyBorder="1" applyAlignment="1" applyProtection="1">
      <alignment horizontal="left" vertical="center" wrapText="1"/>
      <protection locked="0"/>
    </xf>
    <xf numFmtId="0" fontId="5" fillId="12" borderId="25" xfId="53" applyFont="1" applyFill="1" applyBorder="1" applyAlignment="1">
      <alignment horizontal="center" vertical="center" wrapText="1"/>
    </xf>
    <xf numFmtId="0" fontId="5" fillId="12" borderId="13" xfId="53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33" fillId="12" borderId="15" xfId="53" applyFont="1" applyFill="1" applyBorder="1" applyAlignment="1">
      <alignment horizontal="center" vertical="center" wrapText="1"/>
    </xf>
    <xf numFmtId="4" fontId="5" fillId="18" borderId="32" xfId="53" applyNumberFormat="1" applyFont="1" applyFill="1" applyBorder="1" applyAlignment="1" applyProtection="1">
      <alignment horizontal="right" vertical="center" wrapText="1"/>
      <protection locked="0"/>
    </xf>
    <xf numFmtId="4" fontId="5" fillId="18" borderId="30" xfId="53" applyNumberFormat="1" applyFont="1" applyFill="1" applyBorder="1" applyAlignment="1">
      <alignment horizontal="right" vertical="center" wrapText="1"/>
    </xf>
    <xf numFmtId="0" fontId="6" fillId="0" borderId="0" xfId="0" applyFont="1" applyFill="1" applyAlignment="1" applyProtection="1">
      <alignment horizontal="left" vertical="center" wrapText="1"/>
      <protection locked="0"/>
    </xf>
    <xf numFmtId="0" fontId="5" fillId="9" borderId="15" xfId="0" applyFont="1" applyFill="1" applyBorder="1" applyAlignment="1">
      <alignment horizontal="center" vertical="center"/>
    </xf>
    <xf numFmtId="0" fontId="5" fillId="12" borderId="15" xfId="0" applyFont="1" applyFill="1" applyBorder="1" applyAlignment="1">
      <alignment horizontal="center" vertical="center"/>
    </xf>
    <xf numFmtId="0" fontId="6" fillId="0" borderId="41" xfId="0" applyFont="1" applyFill="1" applyBorder="1" applyAlignment="1" applyProtection="1">
      <alignment horizontal="left" vertical="center" wrapText="1"/>
      <protection locked="0"/>
    </xf>
    <xf numFmtId="176" fontId="6" fillId="0" borderId="15" xfId="43" applyFont="1" applyBorder="1" applyAlignment="1" applyProtection="1">
      <alignment horizontal="left" vertical="center" wrapText="1"/>
      <protection locked="0"/>
    </xf>
    <xf numFmtId="0" fontId="5" fillId="20" borderId="15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Normal 18 2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Normal 2 2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Normal 3 5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 5 3" xfId="52"/>
    <cellStyle name="Normal 8" xfId="53"/>
    <cellStyle name="Normal 2 10" xfId="54"/>
    <cellStyle name="Normal 10 2" xfId="55"/>
  </cellStyles>
  <dxfs count="6">
    <dxf>
      <font>
        <b val="1"/>
        <i val="0"/>
      </font>
      <fill>
        <patternFill patternType="solid">
          <bgColor indexed="11"/>
        </patternFill>
      </fill>
    </dxf>
    <dxf>
      <font>
        <b val="0"/>
        <i val="1"/>
      </font>
      <fill>
        <patternFill patternType="solid">
          <bgColor indexed="52"/>
        </patternFill>
      </fill>
    </dxf>
    <dxf>
      <font>
        <b val="1"/>
        <i val="0"/>
        <color theme="0"/>
      </font>
      <fill>
        <patternFill patternType="solid">
          <bgColor rgb="FFFF0000"/>
        </patternFill>
      </fill>
    </dxf>
    <dxf>
      <font>
        <color theme="0"/>
      </font>
      <fill>
        <patternFill patternType="solid">
          <bgColor rgb="FFFF0000"/>
        </patternFill>
      </fill>
    </dxf>
    <dxf>
      <font>
        <b val="1"/>
        <i val="0"/>
        <strike val="0"/>
        <color theme="0"/>
      </font>
      <fill>
        <patternFill patternType="solid">
          <fgColor theme="0" tint="-0.0499893185216834"/>
          <bgColor rgb="FFFF0000"/>
        </patternFill>
      </fill>
    </dxf>
    <dxf>
      <font>
        <b val="1"/>
        <i val="0"/>
        <color theme="0"/>
      </font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3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3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3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3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3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3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3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3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3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3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4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4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4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4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4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4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4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4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4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4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5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5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5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5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5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5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5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5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5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5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6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23495</xdr:colOff>
      <xdr:row>40</xdr:row>
      <xdr:rowOff>0</xdr:rowOff>
    </xdr:to>
    <xdr:pic>
      <xdr:nvPicPr>
        <xdr:cNvPr id="6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1145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6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6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6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6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6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6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6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6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7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7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7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23495</xdr:colOff>
      <xdr:row>31</xdr:row>
      <xdr:rowOff>0</xdr:rowOff>
    </xdr:to>
    <xdr:pic>
      <xdr:nvPicPr>
        <xdr:cNvPr id="7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7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7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7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7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7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7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8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8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8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8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8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46</xdr:row>
      <xdr:rowOff>0</xdr:rowOff>
    </xdr:from>
    <xdr:to>
      <xdr:col>7</xdr:col>
      <xdr:colOff>23495</xdr:colOff>
      <xdr:row>46</xdr:row>
      <xdr:rowOff>0</xdr:rowOff>
    </xdr:to>
    <xdr:pic>
      <xdr:nvPicPr>
        <xdr:cNvPr id="8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2670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17</xdr:row>
      <xdr:rowOff>0</xdr:rowOff>
    </xdr:from>
    <xdr:ext cx="19050" cy="9525"/>
    <xdr:pic>
      <xdr:nvPicPr>
        <xdr:cNvPr id="8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8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8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8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9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9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9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9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9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9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9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9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9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9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10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10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10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10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10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10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10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10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10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19050" cy="9525"/>
    <xdr:pic>
      <xdr:nvPicPr>
        <xdr:cNvPr id="10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1804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1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1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1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1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1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1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1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1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1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1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2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106</xdr:row>
      <xdr:rowOff>0</xdr:rowOff>
    </xdr:from>
    <xdr:to>
      <xdr:col>7</xdr:col>
      <xdr:colOff>23495</xdr:colOff>
      <xdr:row>106</xdr:row>
      <xdr:rowOff>0</xdr:rowOff>
    </xdr:to>
    <xdr:pic>
      <xdr:nvPicPr>
        <xdr:cNvPr id="12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000250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254</xdr:row>
      <xdr:rowOff>0</xdr:rowOff>
    </xdr:from>
    <xdr:ext cx="19050" cy="0"/>
    <xdr:pic>
      <xdr:nvPicPr>
        <xdr:cNvPr id="12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2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2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2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2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2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2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2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3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3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3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254</xdr:row>
      <xdr:rowOff>0</xdr:rowOff>
    </xdr:from>
    <xdr:ext cx="19050" cy="0"/>
    <xdr:pic>
      <xdr:nvPicPr>
        <xdr:cNvPr id="13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4213225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3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3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3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3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3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3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4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4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4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4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4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14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4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4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4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4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5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5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5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5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5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5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5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5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5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5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6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6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6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6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6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6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6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6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6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6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7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7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7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7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7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7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7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7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7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7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8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23495</xdr:colOff>
      <xdr:row>4</xdr:row>
      <xdr:rowOff>0</xdr:rowOff>
    </xdr:to>
    <xdr:pic>
      <xdr:nvPicPr>
        <xdr:cNvPr id="18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8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8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8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8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8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8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8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8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9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9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9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19050" cy="9525"/>
    <xdr:pic>
      <xdr:nvPicPr>
        <xdr:cNvPr id="19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9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9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9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9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9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19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0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1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1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1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1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1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1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1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124</xdr:row>
      <xdr:rowOff>0</xdr:rowOff>
    </xdr:from>
    <xdr:to>
      <xdr:col>7</xdr:col>
      <xdr:colOff>23495</xdr:colOff>
      <xdr:row>124</xdr:row>
      <xdr:rowOff>0</xdr:rowOff>
    </xdr:to>
    <xdr:pic>
      <xdr:nvPicPr>
        <xdr:cNvPr id="21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1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1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2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2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2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2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2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2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2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2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2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19050" cy="9525"/>
    <xdr:pic>
      <xdr:nvPicPr>
        <xdr:cNvPr id="22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3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3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3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3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3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3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3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3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3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3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4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19050" cy="9525"/>
    <xdr:pic>
      <xdr:nvPicPr>
        <xdr:cNvPr id="24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4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4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4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4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4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4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4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4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5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5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5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19050" cy="9525"/>
    <xdr:pic>
      <xdr:nvPicPr>
        <xdr:cNvPr id="25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5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5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5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5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5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5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6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6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6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6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6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26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6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6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6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6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7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7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7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7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7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7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7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23495</xdr:colOff>
      <xdr:row>45</xdr:row>
      <xdr:rowOff>0</xdr:rowOff>
    </xdr:to>
    <xdr:pic>
      <xdr:nvPicPr>
        <xdr:cNvPr id="27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8076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7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7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8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8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8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8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8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8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8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8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8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19050" cy="9525"/>
    <xdr:pic>
      <xdr:nvPicPr>
        <xdr:cNvPr id="28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29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29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29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29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29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29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29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29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29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29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30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19050" cy="9525"/>
    <xdr:pic>
      <xdr:nvPicPr>
        <xdr:cNvPr id="30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0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0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0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0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0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0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0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0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1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1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1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19050" cy="9525"/>
    <xdr:pic>
      <xdr:nvPicPr>
        <xdr:cNvPr id="31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1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1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1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1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1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1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2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2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2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2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2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19050" cy="9525"/>
    <xdr:pic>
      <xdr:nvPicPr>
        <xdr:cNvPr id="32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94234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2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2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2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2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3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3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3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3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3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3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3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3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3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3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4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4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4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4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4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4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4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4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4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23495</xdr:colOff>
      <xdr:row>37</xdr:row>
      <xdr:rowOff>0</xdr:rowOff>
    </xdr:to>
    <xdr:pic>
      <xdr:nvPicPr>
        <xdr:cNvPr id="34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152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5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5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5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5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5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5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5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5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5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5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6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23495</xdr:colOff>
      <xdr:row>41</xdr:row>
      <xdr:rowOff>0</xdr:rowOff>
    </xdr:to>
    <xdr:pic>
      <xdr:nvPicPr>
        <xdr:cNvPr id="36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731456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6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6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6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6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6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6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6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6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7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7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7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23495</xdr:colOff>
      <xdr:row>39</xdr:row>
      <xdr:rowOff>0</xdr:rowOff>
    </xdr:to>
    <xdr:pic>
      <xdr:nvPicPr>
        <xdr:cNvPr id="37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6914515"/>
          <a:ext cx="2349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7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7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7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7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7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7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8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8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8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8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8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38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8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8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8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8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9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9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9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9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9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9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9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39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39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39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40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40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40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40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40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40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40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40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40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40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1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1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1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1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1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1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1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1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1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1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2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42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2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2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2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2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2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2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2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2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3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3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3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3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3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3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3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3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3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3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4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4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4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4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4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4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4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4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4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4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5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5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5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5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5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5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5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45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5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5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6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6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6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6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6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6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6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6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6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46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7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7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7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7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7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7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7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7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7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7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8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8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8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8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8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8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8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8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8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8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9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9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9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49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9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9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9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9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9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49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0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0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0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0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0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0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0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0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0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0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1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1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1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1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1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1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1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51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1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1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2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2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2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2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2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2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2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2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2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52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3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3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3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3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3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3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3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3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3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3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4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54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4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4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4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4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4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4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4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4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5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5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5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98</xdr:row>
      <xdr:rowOff>0</xdr:rowOff>
    </xdr:from>
    <xdr:ext cx="19050" cy="9525"/>
    <xdr:pic>
      <xdr:nvPicPr>
        <xdr:cNvPr id="55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040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5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5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5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5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5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5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6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6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6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6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6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6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6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6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6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6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7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7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7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7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7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7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7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104</xdr:row>
      <xdr:rowOff>0</xdr:rowOff>
    </xdr:from>
    <xdr:ext cx="19050" cy="9525"/>
    <xdr:pic>
      <xdr:nvPicPr>
        <xdr:cNvPr id="57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2309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7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7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8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8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8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8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8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8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8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8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8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89</xdr:row>
      <xdr:rowOff>0</xdr:rowOff>
    </xdr:from>
    <xdr:ext cx="19050" cy="9525"/>
    <xdr:pic>
      <xdr:nvPicPr>
        <xdr:cNvPr id="58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4872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59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59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59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59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59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59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59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59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59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59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0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0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0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0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0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0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0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0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0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0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1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1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1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1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1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1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1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1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1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1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2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2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2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2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2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2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2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2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2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2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3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3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3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3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3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3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3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63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3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3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4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4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4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4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4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4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4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4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4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4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5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5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5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5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5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5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5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5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5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5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6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6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6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6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6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6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6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6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6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6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7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7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7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7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7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7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7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7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7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7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8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8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8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8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8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68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8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8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8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8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9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9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9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9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9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9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9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99</xdr:row>
      <xdr:rowOff>0</xdr:rowOff>
    </xdr:from>
    <xdr:ext cx="19050" cy="9525"/>
    <xdr:pic>
      <xdr:nvPicPr>
        <xdr:cNvPr id="69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82403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9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69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70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70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70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70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70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70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70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70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70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97</xdr:row>
      <xdr:rowOff>0</xdr:rowOff>
    </xdr:from>
    <xdr:ext cx="19050" cy="9525"/>
    <xdr:pic>
      <xdr:nvPicPr>
        <xdr:cNvPr id="70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840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1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1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1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1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1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1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1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1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1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1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2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2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2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2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2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2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2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2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2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2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3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3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3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3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3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3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3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3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3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3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4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4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4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4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4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4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4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4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4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4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5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5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5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5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5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5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5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87</xdr:row>
      <xdr:rowOff>0</xdr:rowOff>
    </xdr:from>
    <xdr:ext cx="19050" cy="9525"/>
    <xdr:pic>
      <xdr:nvPicPr>
        <xdr:cNvPr id="75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224407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1000125</xdr:colOff>
      <xdr:row>5</xdr:row>
      <xdr:rowOff>428625</xdr:rowOff>
    </xdr:from>
    <xdr:ext cx="184731" cy="1540910"/>
    <xdr:sp>
      <xdr:nvSpPr>
        <xdr:cNvPr id="758" name="TextBox 1375"/>
        <xdr:cNvSpPr txBox="1"/>
      </xdr:nvSpPr>
      <xdr:spPr>
        <a:xfrm>
          <a:off x="10017760" y="942340"/>
          <a:ext cx="184150" cy="154051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altLang="en-US" sz="1100"/>
        </a:p>
      </xdr:txBody>
    </xdr:sp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5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6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6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6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6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6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6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6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6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6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6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7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7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7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7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7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7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7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7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7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7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8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8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8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8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8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8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8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8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8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8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9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91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92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93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94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95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96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97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98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799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800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801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802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803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804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805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806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07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08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09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10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11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12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13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14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1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1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1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18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1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2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2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2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2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2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2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2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2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2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2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136</xdr:row>
      <xdr:rowOff>0</xdr:rowOff>
    </xdr:from>
    <xdr:ext cx="19050" cy="9525"/>
    <xdr:pic>
      <xdr:nvPicPr>
        <xdr:cNvPr id="83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3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3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3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3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3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3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3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3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3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4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4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4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4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4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4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4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4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4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4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5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51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52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53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54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55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56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57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58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59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60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61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62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63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64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65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66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67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68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69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70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71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72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73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74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7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7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7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78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7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8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8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8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8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8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8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8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8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8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8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89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89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89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89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89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89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89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89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89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89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0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0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0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0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0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0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0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0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0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0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1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11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12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13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14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15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16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17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18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19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20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21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22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23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24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25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26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27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28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29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30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31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32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33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34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3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3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3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38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3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4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4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4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4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4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4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4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4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4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4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5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5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5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5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5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5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5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5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5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5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6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6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6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6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6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6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6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6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6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6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7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71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72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73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74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75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76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77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78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79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80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81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82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83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84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85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86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87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88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89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90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91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92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93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94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9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9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9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998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99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0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0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0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0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0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0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0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0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0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0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1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1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1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1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1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1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1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1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1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1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2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2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2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2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2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2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2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2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2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2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3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31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32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33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34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35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36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37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38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39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40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41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42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43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44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45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46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47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48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49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50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51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52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53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54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5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5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5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232</xdr:row>
      <xdr:rowOff>0</xdr:rowOff>
    </xdr:from>
    <xdr:to>
      <xdr:col>7</xdr:col>
      <xdr:colOff>24130</xdr:colOff>
      <xdr:row>232</xdr:row>
      <xdr:rowOff>22225</xdr:rowOff>
    </xdr:to>
    <xdr:pic>
      <xdr:nvPicPr>
        <xdr:cNvPr id="1058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2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5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6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6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6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6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6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6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6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6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6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6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7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7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7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7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7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7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7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7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7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7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8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8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232</xdr:row>
      <xdr:rowOff>0</xdr:rowOff>
    </xdr:from>
    <xdr:ext cx="19050" cy="9525"/>
    <xdr:pic>
      <xdr:nvPicPr>
        <xdr:cNvPr id="108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8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8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8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8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8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8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8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9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91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92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93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094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095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096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097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098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099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100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101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102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103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104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105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106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07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08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09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10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11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12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13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14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1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1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1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18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1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2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2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2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2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2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2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2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2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2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2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3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3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3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3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3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3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3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3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3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3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4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4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4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4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4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4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4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4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4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4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5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51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52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53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54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5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5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5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5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5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6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6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6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16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6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6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6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6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6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6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7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7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7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7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7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7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7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7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7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7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8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8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8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8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8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8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8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8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8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8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9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9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9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9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9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9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9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9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9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19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0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0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0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0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0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0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0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0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0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0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1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1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1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1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1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1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1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1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1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1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2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2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2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2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2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2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2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2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2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2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3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3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3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3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3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3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3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3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3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3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4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4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4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4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4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4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4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4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4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4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5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5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5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5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5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5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5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5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5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5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6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6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6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6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6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6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6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6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6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6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7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27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7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7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7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7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7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7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7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7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8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8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8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8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8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8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8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8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8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8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9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29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9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9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9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9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9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9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9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29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0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0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0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0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0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0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0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0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0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0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1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1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1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1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1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1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1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1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1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1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2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2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2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2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2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2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2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2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2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2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3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226</xdr:row>
      <xdr:rowOff>0</xdr:rowOff>
    </xdr:from>
    <xdr:to>
      <xdr:col>7</xdr:col>
      <xdr:colOff>24130</xdr:colOff>
      <xdr:row>226</xdr:row>
      <xdr:rowOff>0</xdr:rowOff>
    </xdr:to>
    <xdr:pic>
      <xdr:nvPicPr>
        <xdr:cNvPr id="133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2413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3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3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3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3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3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3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3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3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4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4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4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4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4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4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4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4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4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4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5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5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5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5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226</xdr:row>
      <xdr:rowOff>0</xdr:rowOff>
    </xdr:from>
    <xdr:ext cx="19050" cy="9525"/>
    <xdr:pic>
      <xdr:nvPicPr>
        <xdr:cNvPr id="135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55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56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57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58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59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60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61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62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63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64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65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19050" cy="9525"/>
    <xdr:pic>
      <xdr:nvPicPr>
        <xdr:cNvPr id="1366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67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68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69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70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71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72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73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74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7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7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7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94</xdr:row>
      <xdr:rowOff>0</xdr:rowOff>
    </xdr:from>
    <xdr:ext cx="34290" cy="0"/>
    <xdr:pic>
      <xdr:nvPicPr>
        <xdr:cNvPr id="1378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7459325"/>
          <a:ext cx="3429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7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8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8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8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8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8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8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8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8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8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8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103</xdr:row>
      <xdr:rowOff>0</xdr:rowOff>
    </xdr:from>
    <xdr:ext cx="19050" cy="9525"/>
    <xdr:pic>
      <xdr:nvPicPr>
        <xdr:cNvPr id="139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190404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39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39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39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39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39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39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39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39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39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0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0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0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0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0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0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0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0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0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0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1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11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12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13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14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15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16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17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18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19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20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21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22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23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24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25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26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27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28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29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30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31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32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33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34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3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3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3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38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3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4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4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4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4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4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4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4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4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4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4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5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5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5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5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5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5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5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5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5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5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6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6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135</xdr:row>
      <xdr:rowOff>0</xdr:rowOff>
    </xdr:from>
    <xdr:ext cx="19050" cy="9525"/>
    <xdr:pic>
      <xdr:nvPicPr>
        <xdr:cNvPr id="146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2240026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6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6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6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6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6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6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6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7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71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72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73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74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75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76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77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78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79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80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81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82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83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84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85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86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87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88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89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90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91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92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93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94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9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9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9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98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49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0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0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0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0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0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0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0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0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0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0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1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1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1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1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1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1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1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1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1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1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2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2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2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2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2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2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2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2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2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2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3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31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32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33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34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35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36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37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38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39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40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41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42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43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44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45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46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47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48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49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50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51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52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53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54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5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5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219</xdr:row>
      <xdr:rowOff>0</xdr:rowOff>
    </xdr:from>
    <xdr:ext cx="19050" cy="9525"/>
    <xdr:pic>
      <xdr:nvPicPr>
        <xdr:cNvPr id="155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7903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5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5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6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6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6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6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6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6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6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6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6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6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7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7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7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7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7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7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7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7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7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7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8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8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8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8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8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8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8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8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8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8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9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9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9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9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9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9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9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9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9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59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0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0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0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0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0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05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06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07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08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09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10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11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12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13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14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15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16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17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18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19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20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21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22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23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24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25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26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27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28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29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30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31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32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33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34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35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36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37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38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39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40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41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42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43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44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45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46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47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48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49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50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51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52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53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54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55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56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57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58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59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60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61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62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63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223</xdr:row>
      <xdr:rowOff>0</xdr:rowOff>
    </xdr:from>
    <xdr:ext cx="19050" cy="9525"/>
    <xdr:pic>
      <xdr:nvPicPr>
        <xdr:cNvPr id="1664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4841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65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66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67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68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69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70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71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72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73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74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75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227</xdr:row>
      <xdr:rowOff>0</xdr:rowOff>
    </xdr:from>
    <xdr:ext cx="19050" cy="9525"/>
    <xdr:pic>
      <xdr:nvPicPr>
        <xdr:cNvPr id="1676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9446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77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78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79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80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81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82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83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84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85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86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87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88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89" name="Picture 11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90" name="Picture 12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91" name="Picture 1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92" name="Picture 1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93" name="Picture 3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94" name="Picture 4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95" name="Picture 5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96" name="Picture 6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97" name="Picture 7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98" name="Picture 8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699" name="Picture 9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224</xdr:row>
      <xdr:rowOff>0</xdr:rowOff>
    </xdr:from>
    <xdr:ext cx="19050" cy="9525"/>
    <xdr:pic>
      <xdr:nvPicPr>
        <xdr:cNvPr id="1700" name="Picture 10" descr="spacer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913255" y="38674675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NTGMC%20Server%20Hardware%20Equipment%20July2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ost Summary"/>
      <sheetName val="Item Details - HP Server"/>
      <sheetName val="Server Guidance"/>
      <sheetName val="Hide"/>
      <sheetName val="T&amp;C"/>
      <sheetName val="Software Order from Insight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8"/>
  <sheetViews>
    <sheetView tabSelected="1" topLeftCell="A289" workbookViewId="0">
      <selection activeCell="I36" sqref="I36"/>
    </sheetView>
  </sheetViews>
  <sheetFormatPr defaultColWidth="14.2612612612613" defaultRowHeight="15"/>
  <cols>
    <col min="1" max="1" width="7.26126126126126" style="16" customWidth="1"/>
    <col min="2" max="2" width="14.8108108108108" style="16" hidden="1" customWidth="1"/>
    <col min="3" max="3" width="16.5855855855856" style="16" hidden="1" customWidth="1"/>
    <col min="4" max="4" width="21.5225225225225" style="16" hidden="1" customWidth="1"/>
    <col min="5" max="5" width="25.3693693693694" style="16" hidden="1" customWidth="1"/>
    <col min="6" max="6" width="31.9459459459459" style="17" hidden="1" customWidth="1"/>
    <col min="7" max="7" width="19.8828828828829" style="15" customWidth="1"/>
    <col min="8" max="8" width="100.792792792793" style="18" customWidth="1"/>
    <col min="9" max="9" width="76.3783783783784" style="19" customWidth="1"/>
    <col min="10" max="10" width="13.981981981982" style="20" customWidth="1"/>
    <col min="11" max="11" width="14.2612612612613" style="14" customWidth="1"/>
    <col min="12" max="12" width="47.990990990991" style="14" customWidth="1"/>
    <col min="13" max="13" width="14.2612612612613" style="14" customWidth="1"/>
    <col min="14" max="14" width="15.2162162162162" style="14" customWidth="1"/>
    <col min="15" max="16382" width="14.2612612612613" style="14"/>
    <col min="16383" max="16384" width="14.2612612612613" style="21"/>
  </cols>
  <sheetData>
    <row r="1" s="13" customFormat="1" ht="19.2" spans="1:10">
      <c r="A1" s="22"/>
      <c r="B1" s="23" t="s">
        <v>0</v>
      </c>
      <c r="C1" s="23" t="s">
        <v>1</v>
      </c>
      <c r="D1" s="23" t="s">
        <v>2</v>
      </c>
      <c r="E1" s="23" t="s">
        <v>3</v>
      </c>
      <c r="F1" s="24" t="s">
        <v>4</v>
      </c>
      <c r="G1" s="25" t="s">
        <v>5</v>
      </c>
      <c r="H1" s="26" t="s">
        <v>6</v>
      </c>
      <c r="I1" s="109" t="s">
        <v>7</v>
      </c>
      <c r="J1" s="26" t="s">
        <v>8</v>
      </c>
    </row>
    <row r="2" s="13" customFormat="1" spans="1:10">
      <c r="A2" s="22"/>
      <c r="B2" s="15">
        <v>2</v>
      </c>
      <c r="C2" s="15"/>
      <c r="D2" s="15"/>
      <c r="E2" s="15"/>
      <c r="F2" s="17"/>
      <c r="G2" s="27"/>
      <c r="H2" s="28"/>
      <c r="I2" s="110"/>
      <c r="J2" s="28"/>
    </row>
    <row r="3" s="13" customFormat="1" ht="19.15" spans="1:10">
      <c r="A3" s="29" t="str">
        <f>IF(A8="Y","Y","N")</f>
        <v>N</v>
      </c>
      <c r="B3" s="15">
        <v>3</v>
      </c>
      <c r="C3" s="15"/>
      <c r="D3" s="15"/>
      <c r="E3" s="15"/>
      <c r="F3" s="17"/>
      <c r="G3" s="30" t="s">
        <v>9</v>
      </c>
      <c r="H3" s="31"/>
      <c r="I3" s="111"/>
      <c r="J3" s="31"/>
    </row>
    <row r="4" s="14" customFormat="1" ht="20.85" spans="1:10">
      <c r="A4" s="29" t="str">
        <f>IF(A9="Y","Y","N")</f>
        <v>N</v>
      </c>
      <c r="B4" s="15">
        <v>5</v>
      </c>
      <c r="C4" s="15"/>
      <c r="D4" s="15"/>
      <c r="E4" s="15"/>
      <c r="F4" s="17" t="str">
        <f>IF(G4="","",LEFT(H4,75))</f>
        <v/>
      </c>
      <c r="G4" s="32" t="s">
        <v>10</v>
      </c>
      <c r="H4" s="33"/>
      <c r="I4" s="112"/>
      <c r="J4" s="33" t="s">
        <v>11</v>
      </c>
    </row>
    <row r="5" s="13" customFormat="1" ht="225" hidden="1" customHeight="1" spans="1:10">
      <c r="A5" s="22"/>
      <c r="B5" s="15"/>
      <c r="C5" s="15"/>
      <c r="D5" s="15"/>
      <c r="E5" s="15"/>
      <c r="F5" s="17"/>
      <c r="G5" s="34" t="s">
        <v>12</v>
      </c>
      <c r="H5" s="35"/>
      <c r="I5" s="35"/>
      <c r="J5" s="35"/>
    </row>
    <row r="6" s="13" customFormat="1" ht="114" hidden="1" customHeight="1" spans="1:10">
      <c r="A6" s="22" t="str">
        <f>IF(A9="Y","Y","N")</f>
        <v>N</v>
      </c>
      <c r="B6" s="15"/>
      <c r="C6" s="15"/>
      <c r="D6" s="15"/>
      <c r="E6" s="15"/>
      <c r="F6" s="17"/>
      <c r="G6" s="36" t="s">
        <v>13</v>
      </c>
      <c r="H6" s="37" t="s">
        <v>14</v>
      </c>
      <c r="I6" s="113" t="s">
        <v>15</v>
      </c>
      <c r="J6" s="114"/>
    </row>
    <row r="7" s="13" customFormat="1" ht="15.75" hidden="1" spans="1:10">
      <c r="A7" s="22"/>
      <c r="B7" s="15"/>
      <c r="C7" s="15"/>
      <c r="D7" s="15"/>
      <c r="E7" s="15"/>
      <c r="F7" s="17"/>
      <c r="G7" s="38"/>
      <c r="H7" s="39"/>
      <c r="I7" s="39"/>
      <c r="J7" s="39"/>
    </row>
    <row r="8" s="14" customFormat="1" ht="56.05" hidden="1" spans="1:10">
      <c r="A8" s="22" t="str">
        <f>IF(A9="Y","Y","N")</f>
        <v>N</v>
      </c>
      <c r="B8" s="15"/>
      <c r="C8" s="16"/>
      <c r="D8" s="16"/>
      <c r="E8" s="16"/>
      <c r="F8" s="17"/>
      <c r="G8" s="40"/>
      <c r="H8" s="41"/>
      <c r="I8" s="115"/>
      <c r="J8" s="116" t="s">
        <v>16</v>
      </c>
    </row>
    <row r="9" s="14" customFormat="1" hidden="1" spans="1:10">
      <c r="A9" s="22" t="str">
        <f>IF(A10="Y","Y","N")</f>
        <v>N</v>
      </c>
      <c r="B9" s="15">
        <v>7</v>
      </c>
      <c r="C9" s="15"/>
      <c r="D9" s="15"/>
      <c r="E9" s="15"/>
      <c r="F9" s="17" t="str">
        <f>IF(G9="","",LEFT(H9,75))</f>
        <v>DL 20 G10 (Small vSpherel Host for OPERA)</v>
      </c>
      <c r="G9" s="42" t="s">
        <v>17</v>
      </c>
      <c r="H9" s="43" t="s">
        <v>18</v>
      </c>
      <c r="I9" s="117" t="s">
        <v>19</v>
      </c>
      <c r="J9" s="118" t="s">
        <v>20</v>
      </c>
    </row>
    <row r="10" s="14" customFormat="1" ht="241.5" hidden="1" customHeight="1" spans="1:10">
      <c r="A10" s="29" t="str">
        <f t="shared" ref="A10:A28" si="0">IF(ISBLANK(J10)=TRUE,"Y",IF(J10=0,"N","Y"))</f>
        <v>N</v>
      </c>
      <c r="B10" s="15">
        <v>8</v>
      </c>
      <c r="C10" s="16" t="s">
        <v>21</v>
      </c>
      <c r="D10" s="16" t="s">
        <v>22</v>
      </c>
      <c r="E10" s="16" t="s">
        <v>23</v>
      </c>
      <c r="F10" s="17" t="str">
        <f>IF(G10="","",LEFT(H10,75))</f>
        <v>HPE ProLiant DL20 Gen10 Performance -  Xeon E-2224 3.4 GHz - 16 GB
Default</v>
      </c>
      <c r="G10" s="44" t="s">
        <v>24</v>
      </c>
      <c r="H10" s="45" t="s">
        <v>25</v>
      </c>
      <c r="I10" s="119" t="s">
        <v>26</v>
      </c>
      <c r="J10" s="120">
        <f>IF(J8=H6,1,IF(H6=8,1,0))</f>
        <v>0</v>
      </c>
    </row>
    <row r="11" s="14" customFormat="1" hidden="1" spans="1:10">
      <c r="A11" s="29" t="str">
        <f t="shared" si="0"/>
        <v>N</v>
      </c>
      <c r="B11" s="15"/>
      <c r="C11" s="16"/>
      <c r="D11" s="16"/>
      <c r="E11" s="16"/>
      <c r="F11" s="17"/>
      <c r="G11" s="46" t="s">
        <v>27</v>
      </c>
      <c r="H11" s="47" t="s">
        <v>28</v>
      </c>
      <c r="I11" s="121" t="s">
        <v>29</v>
      </c>
      <c r="J11" s="120">
        <f>3*J10</f>
        <v>0</v>
      </c>
    </row>
    <row r="12" s="14" customFormat="1" ht="15.75" hidden="1" customHeight="1" spans="1:10">
      <c r="A12" s="29" t="str">
        <f t="shared" si="0"/>
        <v>N</v>
      </c>
      <c r="B12" s="15"/>
      <c r="C12" s="16"/>
      <c r="D12" s="16"/>
      <c r="E12" s="16"/>
      <c r="F12" s="17"/>
      <c r="G12" s="46" t="s">
        <v>30</v>
      </c>
      <c r="H12" s="47" t="s">
        <v>31</v>
      </c>
      <c r="I12" s="122" t="s">
        <v>32</v>
      </c>
      <c r="J12" s="123">
        <f>2*J10</f>
        <v>0</v>
      </c>
    </row>
    <row r="13" s="14" customFormat="1" hidden="1" spans="1:10">
      <c r="A13" s="29" t="str">
        <f t="shared" si="0"/>
        <v>N</v>
      </c>
      <c r="B13" s="15"/>
      <c r="C13" s="16"/>
      <c r="D13" s="16"/>
      <c r="E13" s="16"/>
      <c r="F13" s="17"/>
      <c r="G13" s="48" t="s">
        <v>33</v>
      </c>
      <c r="H13" s="49" t="s">
        <v>34</v>
      </c>
      <c r="I13" s="124" t="s">
        <v>35</v>
      </c>
      <c r="J13" s="123">
        <f>4*J10</f>
        <v>0</v>
      </c>
    </row>
    <row r="14" s="14" customFormat="1" hidden="1" spans="1:10">
      <c r="A14" s="29" t="str">
        <f t="shared" si="0"/>
        <v>N</v>
      </c>
      <c r="B14" s="15"/>
      <c r="C14" s="16"/>
      <c r="D14" s="16"/>
      <c r="E14" s="16"/>
      <c r="F14" s="17"/>
      <c r="G14" s="48" t="s">
        <v>36</v>
      </c>
      <c r="H14" s="49" t="s">
        <v>37</v>
      </c>
      <c r="I14" s="124"/>
      <c r="J14" s="123">
        <f>1*J10</f>
        <v>0</v>
      </c>
    </row>
    <row r="15" s="14" customFormat="1" hidden="1" spans="1:10">
      <c r="A15" s="29" t="str">
        <f t="shared" si="0"/>
        <v>N</v>
      </c>
      <c r="B15" s="15"/>
      <c r="C15" s="16"/>
      <c r="D15" s="16"/>
      <c r="E15" s="16"/>
      <c r="F15" s="17"/>
      <c r="G15" s="50" t="s">
        <v>38</v>
      </c>
      <c r="H15" s="47" t="s">
        <v>39</v>
      </c>
      <c r="I15" s="122"/>
      <c r="J15" s="123">
        <f>1*J10</f>
        <v>0</v>
      </c>
    </row>
    <row r="16" s="14" customFormat="1" hidden="1" spans="1:10">
      <c r="A16" s="29" t="str">
        <f t="shared" si="0"/>
        <v>N</v>
      </c>
      <c r="B16" s="15">
        <v>99</v>
      </c>
      <c r="C16" s="15" t="s">
        <v>21</v>
      </c>
      <c r="D16" s="15" t="s">
        <v>22</v>
      </c>
      <c r="E16" s="15" t="s">
        <v>23</v>
      </c>
      <c r="F16" s="17" t="str">
        <f>IF(G16="","",LEFT(H16,75))</f>
        <v>HPE Smart Array P408i-p SR Gen10 (8 Internal Lanes/2GB Cache) 12G SAS PCIe </v>
      </c>
      <c r="G16" s="51" t="s">
        <v>40</v>
      </c>
      <c r="H16" s="52" t="s">
        <v>41</v>
      </c>
      <c r="I16" s="125"/>
      <c r="J16" s="123">
        <f>1*J10</f>
        <v>0</v>
      </c>
    </row>
    <row r="17" s="14" customFormat="1" hidden="1" spans="1:10">
      <c r="A17" s="29" t="str">
        <f t="shared" si="0"/>
        <v>N</v>
      </c>
      <c r="B17" s="15">
        <v>12</v>
      </c>
      <c r="C17" s="16" t="s">
        <v>21</v>
      </c>
      <c r="D17" s="16" t="s">
        <v>22</v>
      </c>
      <c r="E17" s="15" t="s">
        <v>23</v>
      </c>
      <c r="F17" s="17" t="str">
        <f>IF(G17="","",LEFT(H17,75))</f>
        <v>HPE Smart Array Controller Batteries</v>
      </c>
      <c r="G17" s="51" t="s">
        <v>42</v>
      </c>
      <c r="H17" s="52" t="s">
        <v>43</v>
      </c>
      <c r="I17" s="125"/>
      <c r="J17" s="123">
        <f>1*J10</f>
        <v>0</v>
      </c>
    </row>
    <row r="18" s="14" customFormat="1" hidden="1" spans="1:10">
      <c r="A18" s="29" t="str">
        <f t="shared" si="0"/>
        <v>N</v>
      </c>
      <c r="B18" s="15"/>
      <c r="C18" s="15"/>
      <c r="D18" s="15"/>
      <c r="E18" s="15"/>
      <c r="F18" s="17"/>
      <c r="G18" s="53" t="s">
        <v>44</v>
      </c>
      <c r="H18" s="54" t="s">
        <v>45</v>
      </c>
      <c r="I18" s="47" t="s">
        <v>46</v>
      </c>
      <c r="J18" s="123">
        <f>1*J10</f>
        <v>0</v>
      </c>
    </row>
    <row r="19" s="14" customFormat="1" hidden="1" spans="1:10">
      <c r="A19" s="29" t="str">
        <f t="shared" si="0"/>
        <v>N</v>
      </c>
      <c r="B19" s="15"/>
      <c r="C19" s="15"/>
      <c r="D19" s="15"/>
      <c r="E19" s="15"/>
      <c r="F19" s="17"/>
      <c r="G19" s="53" t="s">
        <v>47</v>
      </c>
      <c r="H19" s="54" t="s">
        <v>48</v>
      </c>
      <c r="I19" s="47"/>
      <c r="J19" s="123">
        <f>J10*1</f>
        <v>0</v>
      </c>
    </row>
    <row r="20" s="14" customFormat="1" hidden="1" spans="1:10">
      <c r="A20" s="29" t="str">
        <f t="shared" si="0"/>
        <v>N</v>
      </c>
      <c r="B20" s="15"/>
      <c r="C20" s="15"/>
      <c r="D20" s="15"/>
      <c r="E20" s="15"/>
      <c r="F20" s="17"/>
      <c r="G20" s="53" t="s">
        <v>49</v>
      </c>
      <c r="H20" s="54" t="s">
        <v>50</v>
      </c>
      <c r="I20" s="47"/>
      <c r="J20" s="123">
        <f>J10*1</f>
        <v>0</v>
      </c>
    </row>
    <row r="21" s="14" customFormat="1" hidden="1" spans="1:10">
      <c r="A21" s="29" t="str">
        <f t="shared" si="0"/>
        <v>N</v>
      </c>
      <c r="B21" s="15"/>
      <c r="C21" s="15"/>
      <c r="D21" s="15"/>
      <c r="E21" s="15"/>
      <c r="F21" s="17"/>
      <c r="G21" s="55" t="s">
        <v>51</v>
      </c>
      <c r="H21" s="56" t="s">
        <v>52</v>
      </c>
      <c r="I21" s="47" t="s">
        <v>53</v>
      </c>
      <c r="J21" s="123">
        <f>2*J10</f>
        <v>0</v>
      </c>
    </row>
    <row r="22" s="14" customFormat="1" hidden="1" spans="1:10">
      <c r="A22" s="29" t="str">
        <f t="shared" si="0"/>
        <v>N</v>
      </c>
      <c r="B22" s="15">
        <v>14</v>
      </c>
      <c r="C22" s="15" t="s">
        <v>21</v>
      </c>
      <c r="D22" s="15" t="s">
        <v>22</v>
      </c>
      <c r="E22" s="15" t="s">
        <v>23</v>
      </c>
      <c r="F22" s="17" t="str">
        <f>IF(G22="","",LEFT(H22,75))</f>
        <v>HPE 500W Flex Slot Platinum Hot Plug Low Halogen Power Supply Kit</v>
      </c>
      <c r="G22" s="57" t="s">
        <v>54</v>
      </c>
      <c r="H22" s="56" t="s">
        <v>55</v>
      </c>
      <c r="I22" s="126" t="s">
        <v>56</v>
      </c>
      <c r="J22" s="123">
        <f>1*J10</f>
        <v>0</v>
      </c>
    </row>
    <row r="23" s="14" customFormat="1" hidden="1" spans="1:10">
      <c r="A23" s="29" t="str">
        <f t="shared" si="0"/>
        <v>N</v>
      </c>
      <c r="B23" s="15"/>
      <c r="C23" s="15"/>
      <c r="D23" s="15"/>
      <c r="E23" s="15"/>
      <c r="F23" s="17"/>
      <c r="G23" s="57" t="s">
        <v>57</v>
      </c>
      <c r="H23" s="56" t="s">
        <v>58</v>
      </c>
      <c r="I23" s="126"/>
      <c r="J23" s="123">
        <f>1*J10</f>
        <v>0</v>
      </c>
    </row>
    <row r="24" s="14" customFormat="1" hidden="1" spans="1:10">
      <c r="A24" s="29" t="str">
        <f t="shared" si="0"/>
        <v>N</v>
      </c>
      <c r="B24" s="15"/>
      <c r="C24" s="15"/>
      <c r="D24" s="15"/>
      <c r="E24" s="15"/>
      <c r="F24" s="17"/>
      <c r="G24" s="58" t="s">
        <v>59</v>
      </c>
      <c r="H24" s="59" t="s">
        <v>60</v>
      </c>
      <c r="I24" s="127"/>
      <c r="J24" s="123">
        <f>1*J10</f>
        <v>0</v>
      </c>
    </row>
    <row r="25" s="14" customFormat="1" ht="43.5" hidden="1" customHeight="1" spans="1:10">
      <c r="A25" s="29" t="str">
        <f t="shared" si="0"/>
        <v>N</v>
      </c>
      <c r="B25" s="15"/>
      <c r="C25" s="15"/>
      <c r="D25" s="15"/>
      <c r="E25" s="15"/>
      <c r="F25" s="17"/>
      <c r="G25" s="60" t="s">
        <v>61</v>
      </c>
      <c r="H25" s="61" t="s">
        <v>62</v>
      </c>
      <c r="I25" s="128" t="s">
        <v>63</v>
      </c>
      <c r="J25" s="129">
        <f>1*J10</f>
        <v>0</v>
      </c>
    </row>
    <row r="26" s="14" customFormat="1" ht="19.2" hidden="1" spans="1:10">
      <c r="A26" s="29" t="str">
        <f t="shared" si="0"/>
        <v>Y</v>
      </c>
      <c r="B26" s="15"/>
      <c r="C26" s="15"/>
      <c r="D26" s="15"/>
      <c r="E26" s="15"/>
      <c r="F26" s="17"/>
      <c r="G26" s="62"/>
      <c r="H26" s="63"/>
      <c r="I26" s="130" t="s">
        <v>64</v>
      </c>
      <c r="J26" s="131"/>
    </row>
    <row r="27" s="14" customFormat="1" ht="15.75" hidden="1" spans="1:10">
      <c r="A27" s="29" t="str">
        <f t="shared" si="0"/>
        <v>Y</v>
      </c>
      <c r="B27" s="15"/>
      <c r="C27" s="15"/>
      <c r="D27" s="15"/>
      <c r="E27" s="15"/>
      <c r="F27" s="17"/>
      <c r="G27" s="64" t="s">
        <v>17</v>
      </c>
      <c r="H27" s="65" t="s">
        <v>65</v>
      </c>
      <c r="I27" s="132" t="s">
        <v>19</v>
      </c>
      <c r="J27" s="133" t="s">
        <v>20</v>
      </c>
    </row>
    <row r="28" s="14" customFormat="1" ht="53.25" hidden="1" customHeight="1" spans="1:10">
      <c r="A28" s="29" t="str">
        <f t="shared" si="0"/>
        <v>N</v>
      </c>
      <c r="B28" s="15"/>
      <c r="C28" s="15"/>
      <c r="D28" s="15"/>
      <c r="E28" s="15"/>
      <c r="F28" s="17"/>
      <c r="G28" s="66" t="s">
        <v>66</v>
      </c>
      <c r="H28" s="67" t="s">
        <v>67</v>
      </c>
      <c r="I28" s="134" t="s">
        <v>68</v>
      </c>
      <c r="J28" s="135">
        <f>J10*8</f>
        <v>0</v>
      </c>
    </row>
    <row r="29" s="14" customFormat="1" hidden="1" spans="1:10">
      <c r="A29" s="29"/>
      <c r="B29" s="15"/>
      <c r="C29" s="15"/>
      <c r="D29" s="15"/>
      <c r="E29" s="15"/>
      <c r="F29" s="17"/>
      <c r="G29" s="68"/>
      <c r="H29" s="69"/>
      <c r="I29" s="136" t="s">
        <v>69</v>
      </c>
      <c r="J29" s="136"/>
    </row>
    <row r="30" s="14" customFormat="1" ht="19.15" hidden="1" spans="1:10">
      <c r="A30" s="29"/>
      <c r="B30" s="15"/>
      <c r="C30" s="15"/>
      <c r="D30" s="15"/>
      <c r="E30" s="15"/>
      <c r="F30" s="17"/>
      <c r="G30" s="62"/>
      <c r="H30" s="63"/>
      <c r="I30" s="130"/>
      <c r="J30" s="131"/>
    </row>
    <row r="31" s="14" customFormat="1" ht="18.75" customHeight="1" spans="1:10">
      <c r="A31" s="29" t="str">
        <f t="shared" ref="A31:A33" si="1">IF(A32="Y","Y","N")</f>
        <v>Y</v>
      </c>
      <c r="B31" s="15"/>
      <c r="C31" s="16"/>
      <c r="D31" s="16"/>
      <c r="E31" s="15"/>
      <c r="F31" s="17"/>
      <c r="G31" s="70"/>
      <c r="H31" s="71"/>
      <c r="I31" s="137"/>
      <c r="J31" s="138" t="s">
        <v>14</v>
      </c>
    </row>
    <row r="32" s="14" customFormat="1" ht="18.75" hidden="1" customHeight="1" spans="1:10">
      <c r="A32" s="29" t="str">
        <f t="shared" si="1"/>
        <v>Y</v>
      </c>
      <c r="B32" s="15"/>
      <c r="C32" s="16"/>
      <c r="D32" s="16"/>
      <c r="E32" s="15"/>
      <c r="F32" s="17"/>
      <c r="G32" s="70"/>
      <c r="H32" s="71"/>
      <c r="I32" s="139"/>
      <c r="J32" s="140" t="s">
        <v>70</v>
      </c>
    </row>
    <row r="33" s="14" customFormat="1" ht="15.75" spans="1:10">
      <c r="A33" s="29" t="str">
        <f t="shared" si="1"/>
        <v>Y</v>
      </c>
      <c r="B33" s="15">
        <v>7</v>
      </c>
      <c r="C33" s="15"/>
      <c r="D33" s="15"/>
      <c r="E33" s="15"/>
      <c r="F33" s="17" t="str">
        <f t="shared" ref="F33:F36" si="2">IF(G33="","",LEFT(H33,75))</f>
        <v>DL360 G10 (MEDIUM &amp; LARGE  vSpherel Host for OPERA)</v>
      </c>
      <c r="G33" s="64" t="s">
        <v>17</v>
      </c>
      <c r="H33" s="65" t="s">
        <v>71</v>
      </c>
      <c r="I33" s="132" t="s">
        <v>19</v>
      </c>
      <c r="J33" s="141" t="s">
        <v>20</v>
      </c>
    </row>
    <row r="34" s="14" customFormat="1" ht="300" spans="1:10">
      <c r="A34" s="29" t="str">
        <f t="shared" ref="A34:A48" si="3">IF(ISBLANK(J34)=TRUE,"Y",IF(J34=0,"N","Y"))</f>
        <v>Y</v>
      </c>
      <c r="B34" s="15">
        <v>8</v>
      </c>
      <c r="C34" s="16" t="s">
        <v>21</v>
      </c>
      <c r="D34" s="16" t="s">
        <v>22</v>
      </c>
      <c r="E34" s="16" t="s">
        <v>23</v>
      </c>
      <c r="F34" s="17" t="str">
        <f t="shared" si="2"/>
        <v>HPE ProLiant DL360 Gen10 SMB Network Choice - rack-mountable - Xeon 4208 2.</v>
      </c>
      <c r="G34" s="72" t="s">
        <v>72</v>
      </c>
      <c r="H34" s="73" t="s">
        <v>73</v>
      </c>
      <c r="I34" s="142" t="s">
        <v>26</v>
      </c>
      <c r="J34" s="143">
        <f>IF(J31=H6,1,IF(H6=J32,1,0))</f>
        <v>1</v>
      </c>
    </row>
    <row r="35" s="14" customFormat="1" ht="15.75" customHeight="1" spans="1:10">
      <c r="A35" s="29" t="str">
        <f t="shared" si="3"/>
        <v>Y</v>
      </c>
      <c r="B35" s="15"/>
      <c r="C35" s="16"/>
      <c r="D35" s="16"/>
      <c r="E35" s="16"/>
      <c r="F35" s="17"/>
      <c r="G35" s="46" t="s">
        <v>74</v>
      </c>
      <c r="H35" s="47" t="s">
        <v>75</v>
      </c>
      <c r="I35" s="126" t="s">
        <v>76</v>
      </c>
      <c r="J35" s="123">
        <f>1*J34</f>
        <v>1</v>
      </c>
    </row>
    <row r="36" s="14" customFormat="1" ht="45" spans="1:10">
      <c r="A36" s="29" t="str">
        <f t="shared" si="3"/>
        <v>Y</v>
      </c>
      <c r="B36" s="15">
        <v>9</v>
      </c>
      <c r="C36" s="15" t="s">
        <v>21</v>
      </c>
      <c r="D36" s="15" t="s">
        <v>22</v>
      </c>
      <c r="E36" s="15" t="s">
        <v>23</v>
      </c>
      <c r="F36" s="17" t="str">
        <f t="shared" si="2"/>
        <v>HPE 16GB (1x16GB) Dual Rank x8 DDR4-2933 CAS-21-21-21 Registered Smart Memo</v>
      </c>
      <c r="G36" s="74" t="s">
        <v>77</v>
      </c>
      <c r="H36" s="75" t="s">
        <v>78</v>
      </c>
      <c r="I36" s="126" t="s">
        <v>79</v>
      </c>
      <c r="J36" s="123">
        <f>IF(H6=J31,11,IF(H6=J32,15)*J34)</f>
        <v>11</v>
      </c>
    </row>
    <row r="37" s="14" customFormat="1" spans="1:10">
      <c r="A37" s="29" t="str">
        <f t="shared" si="3"/>
        <v>Y</v>
      </c>
      <c r="B37" s="15"/>
      <c r="C37" s="15"/>
      <c r="D37" s="15"/>
      <c r="E37" s="15"/>
      <c r="F37" s="17"/>
      <c r="G37" s="46" t="s">
        <v>80</v>
      </c>
      <c r="H37" s="47" t="s">
        <v>81</v>
      </c>
      <c r="I37" s="122" t="s">
        <v>32</v>
      </c>
      <c r="J37" s="123">
        <f>2*J34</f>
        <v>2</v>
      </c>
    </row>
    <row r="38" s="14" customFormat="1" ht="45" spans="1:10">
      <c r="A38" s="29" t="str">
        <f t="shared" si="3"/>
        <v>Y</v>
      </c>
      <c r="B38" s="15">
        <v>10</v>
      </c>
      <c r="C38" s="15" t="s">
        <v>21</v>
      </c>
      <c r="D38" s="15" t="s">
        <v>22</v>
      </c>
      <c r="E38" s="15" t="s">
        <v>23</v>
      </c>
      <c r="F38" s="17" t="str">
        <f>IF(G38="","",LEFT(H38,75))</f>
        <v>HPE 900GB SAS 12G Enterprise 15K SFF (2.5in) SC 3yr Wty Digitally Signed Fi</v>
      </c>
      <c r="G38" s="46" t="s">
        <v>33</v>
      </c>
      <c r="H38" s="47" t="s">
        <v>34</v>
      </c>
      <c r="I38" s="122" t="s">
        <v>82</v>
      </c>
      <c r="J38" s="123">
        <f>IF(H6=J31,4,IF(H6=J32,6)*J34)</f>
        <v>4</v>
      </c>
    </row>
    <row r="39" s="14" customFormat="1" spans="1:10">
      <c r="A39" s="29" t="str">
        <f t="shared" si="3"/>
        <v>Y</v>
      </c>
      <c r="B39" s="15"/>
      <c r="C39" s="15"/>
      <c r="D39" s="15"/>
      <c r="E39" s="15"/>
      <c r="F39" s="17"/>
      <c r="G39" s="76" t="s">
        <v>83</v>
      </c>
      <c r="H39" s="52" t="s">
        <v>84</v>
      </c>
      <c r="I39" s="144"/>
      <c r="J39" s="145">
        <f>1*J34</f>
        <v>1</v>
      </c>
    </row>
    <row r="40" s="14" customFormat="1" ht="15.75" customHeight="1" spans="1:10">
      <c r="A40" s="29" t="str">
        <f t="shared" si="3"/>
        <v>Y</v>
      </c>
      <c r="B40" s="15"/>
      <c r="C40" s="15"/>
      <c r="D40" s="15"/>
      <c r="E40" s="15"/>
      <c r="F40" s="17"/>
      <c r="G40" s="46" t="s">
        <v>54</v>
      </c>
      <c r="H40" s="47" t="s">
        <v>55</v>
      </c>
      <c r="I40" s="126" t="s">
        <v>56</v>
      </c>
      <c r="J40" s="123">
        <f>1*J34</f>
        <v>1</v>
      </c>
    </row>
    <row r="41" s="14" customFormat="1" ht="15.75" customHeight="1" spans="1:10">
      <c r="A41" s="29" t="str">
        <f t="shared" si="3"/>
        <v>Y</v>
      </c>
      <c r="B41" s="15">
        <v>12</v>
      </c>
      <c r="C41" s="16" t="s">
        <v>21</v>
      </c>
      <c r="D41" s="16" t="s">
        <v>22</v>
      </c>
      <c r="E41" s="15" t="s">
        <v>23</v>
      </c>
      <c r="F41" s="17" t="str">
        <f>IF(G41="","",LEFT(H41,75))</f>
        <v>HPE Mobile USB DVD-RW Optical Drive</v>
      </c>
      <c r="G41" s="46" t="s">
        <v>38</v>
      </c>
      <c r="H41" s="47" t="s">
        <v>39</v>
      </c>
      <c r="I41" s="146"/>
      <c r="J41" s="145">
        <f>1*J34</f>
        <v>1</v>
      </c>
    </row>
    <row r="42" s="14" customFormat="1" spans="1:10">
      <c r="A42" s="29" t="str">
        <f t="shared" si="3"/>
        <v>Y</v>
      </c>
      <c r="B42" s="15"/>
      <c r="C42" s="16"/>
      <c r="D42" s="16"/>
      <c r="E42" s="15"/>
      <c r="F42" s="17"/>
      <c r="G42" s="55" t="s">
        <v>44</v>
      </c>
      <c r="H42" s="56" t="s">
        <v>85</v>
      </c>
      <c r="I42" s="146" t="s">
        <v>46</v>
      </c>
      <c r="J42" s="145">
        <f>1*J34</f>
        <v>1</v>
      </c>
    </row>
    <row r="43" s="14" customFormat="1" spans="1:10">
      <c r="A43" s="29" t="str">
        <f t="shared" si="3"/>
        <v>Y</v>
      </c>
      <c r="B43" s="15"/>
      <c r="C43" s="16"/>
      <c r="D43" s="16"/>
      <c r="E43" s="15"/>
      <c r="F43" s="17"/>
      <c r="G43" s="55" t="s">
        <v>86</v>
      </c>
      <c r="H43" s="56" t="s">
        <v>87</v>
      </c>
      <c r="I43" s="147" t="s">
        <v>88</v>
      </c>
      <c r="J43" s="123">
        <f>1*J34</f>
        <v>1</v>
      </c>
    </row>
    <row r="44" s="14" customFormat="1" spans="1:10">
      <c r="A44" s="29" t="str">
        <f t="shared" si="3"/>
        <v>Y</v>
      </c>
      <c r="B44" s="15"/>
      <c r="C44" s="16"/>
      <c r="D44" s="16"/>
      <c r="E44" s="15"/>
      <c r="F44" s="17"/>
      <c r="G44" s="55" t="s">
        <v>47</v>
      </c>
      <c r="H44" s="56" t="s">
        <v>48</v>
      </c>
      <c r="I44" s="147"/>
      <c r="J44" s="123">
        <f>1*J34</f>
        <v>1</v>
      </c>
    </row>
    <row r="45" s="14" customFormat="1" spans="1:10">
      <c r="A45" s="29" t="str">
        <f t="shared" si="3"/>
        <v>Y</v>
      </c>
      <c r="B45" s="15"/>
      <c r="C45" s="16"/>
      <c r="D45" s="16"/>
      <c r="E45" s="15"/>
      <c r="F45" s="17"/>
      <c r="G45" s="55" t="s">
        <v>89</v>
      </c>
      <c r="H45" s="56" t="s">
        <v>90</v>
      </c>
      <c r="I45" s="147"/>
      <c r="J45" s="123">
        <f>1*J35</f>
        <v>1</v>
      </c>
    </row>
    <row r="46" s="14" customFormat="1" spans="1:10">
      <c r="A46" s="29" t="str">
        <f t="shared" si="3"/>
        <v>Y</v>
      </c>
      <c r="B46" s="15"/>
      <c r="C46" s="15"/>
      <c r="D46" s="15"/>
      <c r="E46" s="15"/>
      <c r="F46" s="17"/>
      <c r="G46" s="77" t="s">
        <v>51</v>
      </c>
      <c r="H46" s="52" t="s">
        <v>91</v>
      </c>
      <c r="I46" s="47" t="s">
        <v>53</v>
      </c>
      <c r="J46" s="123">
        <f>2*J34</f>
        <v>2</v>
      </c>
    </row>
    <row r="47" s="14" customFormat="1" spans="1:10">
      <c r="A47" s="29" t="str">
        <f t="shared" si="3"/>
        <v>Y</v>
      </c>
      <c r="B47" s="15">
        <v>11</v>
      </c>
      <c r="C47" s="16" t="s">
        <v>21</v>
      </c>
      <c r="D47" s="16" t="s">
        <v>22</v>
      </c>
      <c r="E47" s="15" t="s">
        <v>23</v>
      </c>
      <c r="F47" s="17" t="str">
        <f>IF(G47="","",LEFT(H47,75))</f>
        <v>HPE iLO Advanced Electronic License with 3yr Support on iLO Licensed Featur</v>
      </c>
      <c r="G47" s="78" t="s">
        <v>59</v>
      </c>
      <c r="H47" s="79" t="s">
        <v>60</v>
      </c>
      <c r="I47" s="79"/>
      <c r="J47" s="148">
        <f>1*J34</f>
        <v>1</v>
      </c>
    </row>
    <row r="48" s="14" customFormat="1" ht="45.75" spans="1:10">
      <c r="A48" s="29" t="str">
        <f t="shared" si="3"/>
        <v>Y</v>
      </c>
      <c r="B48" s="15"/>
      <c r="C48" s="15"/>
      <c r="D48" s="15"/>
      <c r="E48" s="15"/>
      <c r="F48" s="17"/>
      <c r="G48" s="80" t="s">
        <v>92</v>
      </c>
      <c r="H48" s="81" t="s">
        <v>93</v>
      </c>
      <c r="I48" s="146" t="s">
        <v>94</v>
      </c>
      <c r="J48" s="123">
        <f>1*J34</f>
        <v>1</v>
      </c>
    </row>
    <row r="49" s="14" customFormat="1" ht="18.45" spans="1:10">
      <c r="A49" s="29"/>
      <c r="B49" s="15"/>
      <c r="C49" s="15"/>
      <c r="D49" s="15"/>
      <c r="E49" s="15"/>
      <c r="F49" s="17"/>
      <c r="G49" s="82"/>
      <c r="H49" s="83"/>
      <c r="I49" s="149" t="s">
        <v>64</v>
      </c>
      <c r="J49" s="150"/>
    </row>
    <row r="50" s="14" customFormat="1" spans="1:11">
      <c r="A50" s="29" t="str">
        <f t="shared" ref="A50:A55" si="4">IF(ISBLANK(J50)=TRUE,"Y",IF(J50=0,"N","Y"))</f>
        <v>Y</v>
      </c>
      <c r="B50" s="15">
        <v>25</v>
      </c>
      <c r="C50" s="15"/>
      <c r="D50" s="15"/>
      <c r="E50" s="15"/>
      <c r="F50" s="17" t="str">
        <f>IF(G50="","",LEFT(H50,75))</f>
        <v>SOFTWARE</v>
      </c>
      <c r="G50" s="84" t="s">
        <v>17</v>
      </c>
      <c r="H50" s="85" t="s">
        <v>65</v>
      </c>
      <c r="I50" s="151" t="s">
        <v>95</v>
      </c>
      <c r="J50" s="118" t="s">
        <v>20</v>
      </c>
      <c r="K50" s="152"/>
    </row>
    <row r="51" s="14" customFormat="1" spans="1:11">
      <c r="A51" s="29" t="str">
        <f t="shared" si="4"/>
        <v>Y</v>
      </c>
      <c r="B51" s="15"/>
      <c r="C51" s="15"/>
      <c r="D51" s="15"/>
      <c r="E51" s="15"/>
      <c r="F51" s="17"/>
      <c r="G51" s="86" t="s">
        <v>96</v>
      </c>
      <c r="H51" s="87" t="s">
        <v>97</v>
      </c>
      <c r="I51" s="119"/>
      <c r="J51" s="123">
        <f>IF((J10+J34+J91)=0,0,IF(AND((J10+J34+J91)&gt;=1,(J10+J34+J91)&lt;=3),1,2))</f>
        <v>1</v>
      </c>
      <c r="K51" s="152"/>
    </row>
    <row r="52" s="14" customFormat="1" spans="1:11">
      <c r="A52" s="29" t="str">
        <f t="shared" si="4"/>
        <v>Y</v>
      </c>
      <c r="B52" s="15"/>
      <c r="C52" s="15"/>
      <c r="D52" s="15"/>
      <c r="E52" s="15"/>
      <c r="F52" s="17"/>
      <c r="G52" s="86" t="s">
        <v>98</v>
      </c>
      <c r="H52" s="87" t="s">
        <v>99</v>
      </c>
      <c r="I52" s="119"/>
      <c r="J52" s="123">
        <v>1</v>
      </c>
      <c r="K52" s="152"/>
    </row>
    <row r="53" s="14" customFormat="1" ht="30" spans="1:11">
      <c r="A53" s="29" t="str">
        <f t="shared" si="4"/>
        <v>Y</v>
      </c>
      <c r="B53" s="15"/>
      <c r="C53" s="15"/>
      <c r="D53" s="15"/>
      <c r="E53" s="15"/>
      <c r="F53" s="17"/>
      <c r="G53" s="86" t="s">
        <v>100</v>
      </c>
      <c r="H53" s="87" t="s">
        <v>101</v>
      </c>
      <c r="I53" s="119"/>
      <c r="J53" s="123">
        <v>1</v>
      </c>
      <c r="K53" s="152"/>
    </row>
    <row r="54" s="14" customFormat="1" ht="15.75" spans="1:11">
      <c r="A54" s="29" t="str">
        <f t="shared" si="4"/>
        <v>Y</v>
      </c>
      <c r="B54" s="15"/>
      <c r="C54" s="15"/>
      <c r="D54" s="15"/>
      <c r="E54" s="15"/>
      <c r="F54" s="17"/>
      <c r="G54" s="88" t="s">
        <v>17</v>
      </c>
      <c r="H54" s="89" t="s">
        <v>65</v>
      </c>
      <c r="I54" s="153"/>
      <c r="J54" s="154" t="s">
        <v>20</v>
      </c>
      <c r="K54" s="152"/>
    </row>
    <row r="55" s="14" customFormat="1" ht="75.75" spans="1:11">
      <c r="A55" s="29" t="str">
        <f t="shared" si="4"/>
        <v>Y</v>
      </c>
      <c r="B55" s="15">
        <v>26</v>
      </c>
      <c r="C55" s="15" t="s">
        <v>102</v>
      </c>
      <c r="D55" s="15" t="s">
        <v>22</v>
      </c>
      <c r="E55" s="15" t="s">
        <v>103</v>
      </c>
      <c r="F55" s="17" t="str">
        <f>IF(G55="","",LEFT(H55,75))</f>
        <v/>
      </c>
      <c r="G55" s="66"/>
      <c r="H55" s="90" t="s">
        <v>104</v>
      </c>
      <c r="I55" s="134" t="s">
        <v>105</v>
      </c>
      <c r="J55" s="135">
        <f>J34*1</f>
        <v>1</v>
      </c>
      <c r="K55" s="152"/>
    </row>
    <row r="56" s="14" customFormat="1" spans="1:11">
      <c r="A56" s="29" t="e">
        <f>IF(ISBLANK(#REF!)=TRUE,"Y",IF(#REF!=0,"N","Y"))</f>
        <v>#REF!</v>
      </c>
      <c r="B56" s="15"/>
      <c r="C56" s="15"/>
      <c r="D56" s="15"/>
      <c r="E56" s="15"/>
      <c r="F56" s="17"/>
      <c r="G56" s="68"/>
      <c r="H56" s="69"/>
      <c r="I56" s="136" t="s">
        <v>69</v>
      </c>
      <c r="J56" s="136"/>
      <c r="K56" s="152"/>
    </row>
    <row r="57" s="14" customFormat="1" spans="1:11">
      <c r="A57" s="29" t="e">
        <f>IF(ISBLANK(#REF!)=TRUE,"Y",IF(#REF!=0,"N","Y"))</f>
        <v>#REF!</v>
      </c>
      <c r="B57" s="15"/>
      <c r="C57" s="15"/>
      <c r="D57" s="15"/>
      <c r="E57" s="15"/>
      <c r="F57" s="17"/>
      <c r="G57" s="91"/>
      <c r="H57" s="92"/>
      <c r="I57" s="155" t="s">
        <v>106</v>
      </c>
      <c r="J57" s="156"/>
      <c r="K57" s="152"/>
    </row>
    <row r="58" s="14" customFormat="1" ht="16.6" spans="1:11">
      <c r="A58" s="29"/>
      <c r="B58" s="15"/>
      <c r="C58" s="15"/>
      <c r="D58" s="15"/>
      <c r="E58" s="15"/>
      <c r="F58" s="17"/>
      <c r="G58" s="93"/>
      <c r="H58" s="94"/>
      <c r="I58" s="157"/>
      <c r="J58" s="158"/>
      <c r="K58" s="152"/>
    </row>
    <row r="59" s="14" customFormat="1" ht="20.85" spans="1:10">
      <c r="A59" s="29" t="str">
        <f>IF(A64="Y","Y","N")</f>
        <v>N</v>
      </c>
      <c r="B59" s="15">
        <v>140</v>
      </c>
      <c r="C59" s="15"/>
      <c r="D59" s="15"/>
      <c r="E59" s="15"/>
      <c r="F59" s="17" t="str">
        <f>IF(G59="","",LEFT(H59,75))</f>
        <v/>
      </c>
      <c r="G59" s="95" t="s">
        <v>107</v>
      </c>
      <c r="H59" s="96"/>
      <c r="I59" s="96"/>
      <c r="J59" s="96"/>
    </row>
    <row r="60" s="13" customFormat="1" ht="234.95" hidden="1" customHeight="1" spans="1:10">
      <c r="A60" s="22" t="str">
        <f>IF(A64="Y","Y","N")</f>
        <v>N</v>
      </c>
      <c r="B60" s="15"/>
      <c r="C60" s="15"/>
      <c r="D60" s="15"/>
      <c r="E60" s="15"/>
      <c r="F60" s="17"/>
      <c r="G60" s="97" t="s">
        <v>108</v>
      </c>
      <c r="H60" s="98"/>
      <c r="I60" s="159"/>
      <c r="J60" s="160"/>
    </row>
    <row r="61" s="13" customFormat="1" ht="15.75" hidden="1" spans="1:10">
      <c r="A61" s="22"/>
      <c r="B61" s="15"/>
      <c r="C61" s="15"/>
      <c r="D61" s="15"/>
      <c r="E61" s="15"/>
      <c r="F61" s="17"/>
      <c r="G61" s="99"/>
      <c r="H61" s="100"/>
      <c r="I61" s="161"/>
      <c r="J61" s="162"/>
    </row>
    <row r="62" s="13" customFormat="1" ht="51" hidden="1" customHeight="1" spans="1:10">
      <c r="A62" s="22" t="str">
        <f>IF(A64="Y","Y","N")</f>
        <v>N</v>
      </c>
      <c r="B62" s="15"/>
      <c r="C62" s="15"/>
      <c r="D62" s="15"/>
      <c r="E62" s="15"/>
      <c r="F62" s="17"/>
      <c r="G62" s="101" t="s">
        <v>109</v>
      </c>
      <c r="H62" s="102" t="s">
        <v>110</v>
      </c>
      <c r="I62" s="163" t="s">
        <v>15</v>
      </c>
      <c r="J62" s="164"/>
    </row>
    <row r="63" s="13" customFormat="1" ht="23.1" hidden="1" customHeight="1" spans="1:10">
      <c r="A63" s="22" t="str">
        <f>IF(A64="Y","Y","N")</f>
        <v>N</v>
      </c>
      <c r="B63" s="15"/>
      <c r="C63" s="15"/>
      <c r="D63" s="15"/>
      <c r="E63" s="15"/>
      <c r="F63" s="17"/>
      <c r="G63" s="103"/>
      <c r="H63" s="104" t="s">
        <v>111</v>
      </c>
      <c r="I63" s="161"/>
      <c r="J63" s="162"/>
    </row>
    <row r="64" s="13" customFormat="1" ht="39.6" hidden="1" customHeight="1" spans="1:10">
      <c r="A64" s="105" t="str">
        <f>IF(A66="Y","Y","N")</f>
        <v>N</v>
      </c>
      <c r="F64" s="106"/>
      <c r="G64" s="107" t="s">
        <v>112</v>
      </c>
      <c r="H64" s="108" t="s">
        <v>113</v>
      </c>
      <c r="I64" s="108" t="s">
        <v>114</v>
      </c>
      <c r="J64" s="165" t="str">
        <f>IF(SUM(G66:G81)&gt;4,"ERROR, To Many VM Configured, Max is FOUR ","Status OK")</f>
        <v>Status OK</v>
      </c>
    </row>
    <row r="65" s="13" customFormat="1" hidden="1" spans="1:10">
      <c r="A65" s="105"/>
      <c r="F65" s="106"/>
      <c r="G65" s="166">
        <v>1</v>
      </c>
      <c r="H65" s="147" t="s">
        <v>115</v>
      </c>
      <c r="I65" s="197">
        <v>0</v>
      </c>
      <c r="J65" s="198" t="str">
        <f t="shared" ref="J65:J71" si="5">IF(G65+I65&gt;0,IF(G65=I65,"Error-Choose only VM or Physical","OK"),"OK")</f>
        <v>OK</v>
      </c>
    </row>
    <row r="66" s="15" customFormat="1" hidden="1" spans="1:10">
      <c r="A66" s="22" t="str">
        <f t="shared" ref="A66:A85" si="6">IF(ISBLANK(G66)=TRUE,"Y",IF(I66=0,"N","Y"))</f>
        <v>N</v>
      </c>
      <c r="F66" s="17"/>
      <c r="G66" s="166">
        <v>1</v>
      </c>
      <c r="H66" s="147" t="s">
        <v>116</v>
      </c>
      <c r="I66" s="199">
        <v>0</v>
      </c>
      <c r="J66" s="198" t="str">
        <f t="shared" si="5"/>
        <v>OK</v>
      </c>
    </row>
    <row r="67" s="15" customFormat="1" hidden="1" spans="1:10">
      <c r="A67" s="22" t="str">
        <f t="shared" si="6"/>
        <v>N</v>
      </c>
      <c r="F67" s="17"/>
      <c r="G67" s="166">
        <v>1</v>
      </c>
      <c r="H67" s="45" t="s">
        <v>117</v>
      </c>
      <c r="I67" s="197">
        <v>0</v>
      </c>
      <c r="J67" s="198" t="str">
        <f t="shared" si="5"/>
        <v>OK</v>
      </c>
    </row>
    <row r="68" s="15" customFormat="1" hidden="1" spans="1:10">
      <c r="A68" s="22" t="str">
        <f t="shared" si="6"/>
        <v>N</v>
      </c>
      <c r="F68" s="17"/>
      <c r="G68" s="167">
        <v>0</v>
      </c>
      <c r="H68" s="147" t="s">
        <v>118</v>
      </c>
      <c r="I68" s="199">
        <v>0</v>
      </c>
      <c r="J68" s="198" t="str">
        <f t="shared" si="5"/>
        <v>OK</v>
      </c>
    </row>
    <row r="69" s="15" customFormat="1" hidden="1" spans="1:10">
      <c r="A69" s="22" t="str">
        <f t="shared" si="6"/>
        <v>N</v>
      </c>
      <c r="F69" s="17"/>
      <c r="G69" s="166">
        <v>1</v>
      </c>
      <c r="H69" s="147" t="s">
        <v>119</v>
      </c>
      <c r="I69" s="199">
        <v>0</v>
      </c>
      <c r="J69" s="198" t="str">
        <f t="shared" si="5"/>
        <v>OK</v>
      </c>
    </row>
    <row r="70" s="15" customFormat="1" hidden="1" spans="1:10">
      <c r="A70" s="22" t="str">
        <f t="shared" si="6"/>
        <v>N</v>
      </c>
      <c r="F70" s="17"/>
      <c r="G70" s="166">
        <v>0</v>
      </c>
      <c r="H70" s="147" t="s">
        <v>120</v>
      </c>
      <c r="I70" s="199">
        <v>0</v>
      </c>
      <c r="J70" s="198" t="str">
        <f t="shared" si="5"/>
        <v>OK</v>
      </c>
    </row>
    <row r="71" s="15" customFormat="1" hidden="1" spans="1:10">
      <c r="A71" s="22" t="str">
        <f t="shared" si="6"/>
        <v>Y</v>
      </c>
      <c r="F71" s="17"/>
      <c r="G71" s="166">
        <v>0</v>
      </c>
      <c r="H71" s="147" t="s">
        <v>121</v>
      </c>
      <c r="I71" s="199">
        <v>1</v>
      </c>
      <c r="J71" s="198" t="str">
        <f t="shared" si="5"/>
        <v>OK</v>
      </c>
    </row>
    <row r="72" s="15" customFormat="1" hidden="1" spans="1:10">
      <c r="A72" s="22" t="str">
        <f t="shared" si="6"/>
        <v>N</v>
      </c>
      <c r="F72" s="17"/>
      <c r="G72" s="167">
        <v>0</v>
      </c>
      <c r="H72" s="147" t="s">
        <v>122</v>
      </c>
      <c r="I72" s="199">
        <v>0</v>
      </c>
      <c r="J72" s="198" t="str">
        <f>IF(AND(G72+I72&lt;2,G74+I74&lt;2,I72+I74&gt;1),"Error,Only Choose 1","OK")</f>
        <v>OK</v>
      </c>
    </row>
    <row r="73" s="15" customFormat="1" hidden="1" spans="1:10">
      <c r="A73" s="22" t="str">
        <f t="shared" si="6"/>
        <v>N</v>
      </c>
      <c r="F73" s="17"/>
      <c r="G73" s="166">
        <v>0</v>
      </c>
      <c r="H73" s="147" t="s">
        <v>123</v>
      </c>
      <c r="I73" s="199">
        <v>0</v>
      </c>
      <c r="J73" s="198" t="str">
        <f t="shared" ref="J73:J85" si="7">IF(G73+I73&gt;0,IF(G73=I73,"Error-Choose only VM or Physical","OK"),"OK")</f>
        <v>OK</v>
      </c>
    </row>
    <row r="74" s="15" customFormat="1" ht="30" hidden="1" spans="1:10">
      <c r="A74" s="22" t="str">
        <f t="shared" si="6"/>
        <v>N</v>
      </c>
      <c r="F74" s="17"/>
      <c r="G74" s="167">
        <v>0</v>
      </c>
      <c r="H74" s="147" t="s">
        <v>124</v>
      </c>
      <c r="I74" s="199">
        <v>0</v>
      </c>
      <c r="J74" s="198" t="str">
        <f>IF(AND(G74+I72&lt;2,I72+I74&gt;1),"Error,Only Choose 1","OK")</f>
        <v>OK</v>
      </c>
    </row>
    <row r="75" s="15" customFormat="1" hidden="1" spans="1:10">
      <c r="A75" s="22" t="str">
        <f t="shared" si="6"/>
        <v>N</v>
      </c>
      <c r="F75" s="17"/>
      <c r="G75" s="166">
        <v>0</v>
      </c>
      <c r="H75" s="147" t="s">
        <v>125</v>
      </c>
      <c r="I75" s="199">
        <v>0</v>
      </c>
      <c r="J75" s="198" t="str">
        <f t="shared" si="7"/>
        <v>OK</v>
      </c>
    </row>
    <row r="76" s="15" customFormat="1" hidden="1" spans="1:10">
      <c r="A76" s="22" t="str">
        <f t="shared" si="6"/>
        <v>N</v>
      </c>
      <c r="F76" s="17"/>
      <c r="G76" s="166">
        <v>0</v>
      </c>
      <c r="H76" s="147" t="s">
        <v>126</v>
      </c>
      <c r="I76" s="199">
        <v>0</v>
      </c>
      <c r="J76" s="198" t="str">
        <f t="shared" si="7"/>
        <v>OK</v>
      </c>
    </row>
    <row r="77" s="15" customFormat="1" hidden="1" spans="1:10">
      <c r="A77" s="22" t="str">
        <f t="shared" si="6"/>
        <v>N</v>
      </c>
      <c r="F77" s="17"/>
      <c r="G77" s="166">
        <v>0</v>
      </c>
      <c r="H77" s="45" t="s">
        <v>127</v>
      </c>
      <c r="I77" s="199">
        <v>0</v>
      </c>
      <c r="J77" s="198" t="str">
        <f t="shared" si="7"/>
        <v>OK</v>
      </c>
    </row>
    <row r="78" s="15" customFormat="1" hidden="1" spans="1:10">
      <c r="A78" s="22" t="str">
        <f t="shared" si="6"/>
        <v>Y</v>
      </c>
      <c r="F78" s="17"/>
      <c r="G78" s="166">
        <v>0</v>
      </c>
      <c r="H78" s="147" t="s">
        <v>128</v>
      </c>
      <c r="I78" s="199">
        <v>1</v>
      </c>
      <c r="J78" s="198" t="str">
        <f t="shared" si="7"/>
        <v>OK</v>
      </c>
    </row>
    <row r="79" s="15" customFormat="1" hidden="1" spans="1:10">
      <c r="A79" s="22" t="str">
        <f t="shared" si="6"/>
        <v>N</v>
      </c>
      <c r="F79" s="17"/>
      <c r="G79" s="166">
        <v>0</v>
      </c>
      <c r="H79" s="147" t="s">
        <v>129</v>
      </c>
      <c r="I79" s="199">
        <v>0</v>
      </c>
      <c r="J79" s="198" t="str">
        <f t="shared" si="7"/>
        <v>OK</v>
      </c>
    </row>
    <row r="80" s="15" customFormat="1" hidden="1" spans="1:10">
      <c r="A80" s="22" t="str">
        <f t="shared" si="6"/>
        <v>N</v>
      </c>
      <c r="F80" s="17"/>
      <c r="G80" s="167">
        <v>0</v>
      </c>
      <c r="H80" s="147" t="s">
        <v>130</v>
      </c>
      <c r="I80" s="199">
        <v>0</v>
      </c>
      <c r="J80" s="198" t="str">
        <f t="shared" si="7"/>
        <v>OK</v>
      </c>
    </row>
    <row r="81" s="15" customFormat="1" hidden="1" spans="1:10">
      <c r="A81" s="22" t="str">
        <f t="shared" si="6"/>
        <v>N</v>
      </c>
      <c r="F81" s="17"/>
      <c r="G81" s="167">
        <v>0</v>
      </c>
      <c r="H81" s="147" t="s">
        <v>131</v>
      </c>
      <c r="I81" s="199">
        <v>0</v>
      </c>
      <c r="J81" s="198" t="str">
        <f t="shared" si="7"/>
        <v>OK</v>
      </c>
    </row>
    <row r="82" s="15" customFormat="1" hidden="1" spans="1:10">
      <c r="A82" s="22" t="str">
        <f t="shared" si="6"/>
        <v>N</v>
      </c>
      <c r="F82" s="17"/>
      <c r="G82" s="167">
        <v>0</v>
      </c>
      <c r="H82" s="147" t="s">
        <v>132</v>
      </c>
      <c r="I82" s="199">
        <v>0</v>
      </c>
      <c r="J82" s="198" t="str">
        <f t="shared" si="7"/>
        <v>OK</v>
      </c>
    </row>
    <row r="83" s="15" customFormat="1" hidden="1" spans="1:10">
      <c r="A83" s="22" t="str">
        <f t="shared" si="6"/>
        <v>Y</v>
      </c>
      <c r="F83" s="17"/>
      <c r="G83" s="166">
        <v>0</v>
      </c>
      <c r="H83" s="168" t="s">
        <v>133</v>
      </c>
      <c r="I83" s="199">
        <v>1</v>
      </c>
      <c r="J83" s="198" t="str">
        <f t="shared" si="7"/>
        <v>OK</v>
      </c>
    </row>
    <row r="84" s="15" customFormat="1" hidden="1" spans="1:10">
      <c r="A84" s="22" t="str">
        <f t="shared" si="6"/>
        <v>N</v>
      </c>
      <c r="F84" s="17"/>
      <c r="G84" s="166">
        <v>0</v>
      </c>
      <c r="H84" s="168" t="s">
        <v>134</v>
      </c>
      <c r="I84" s="199">
        <v>0</v>
      </c>
      <c r="J84" s="198" t="str">
        <f t="shared" si="7"/>
        <v>OK</v>
      </c>
    </row>
    <row r="85" s="15" customFormat="1" hidden="1" spans="1:10">
      <c r="A85" s="22" t="str">
        <f t="shared" si="6"/>
        <v>N</v>
      </c>
      <c r="F85" s="17"/>
      <c r="G85" s="166">
        <v>0</v>
      </c>
      <c r="H85" s="168" t="s">
        <v>135</v>
      </c>
      <c r="I85" s="199">
        <v>0</v>
      </c>
      <c r="J85" s="198" t="str">
        <f t="shared" si="7"/>
        <v>OK</v>
      </c>
    </row>
    <row r="86" s="15" customFormat="1" hidden="1" spans="1:10">
      <c r="A86" s="22"/>
      <c r="F86" s="17"/>
      <c r="G86" s="166"/>
      <c r="H86" s="147"/>
      <c r="I86" s="199"/>
      <c r="J86" s="198"/>
    </row>
    <row r="87" s="15" customFormat="1" ht="15.75" hidden="1" spans="1:10">
      <c r="A87" s="22" t="str">
        <f>IF(ISBLANK(G87)=TRUE,"Y",IF(I87=0,"N","Y"))</f>
        <v>Y</v>
      </c>
      <c r="F87" s="17"/>
      <c r="G87" s="169">
        <f>SUM(G65:G86)</f>
        <v>4</v>
      </c>
      <c r="H87" s="170" t="s">
        <v>136</v>
      </c>
      <c r="I87" s="200">
        <f>SUM(I65:I85)</f>
        <v>3</v>
      </c>
      <c r="J87" s="201"/>
    </row>
    <row r="88" s="14" customFormat="1" ht="19.15" spans="1:10">
      <c r="A88" s="29" t="str">
        <f t="shared" ref="A88:A90" si="8">IF(A89="Y","Y","N")</f>
        <v>Y</v>
      </c>
      <c r="B88" s="15"/>
      <c r="C88" s="16"/>
      <c r="D88" s="16"/>
      <c r="E88" s="15"/>
      <c r="F88" s="17"/>
      <c r="G88" s="171"/>
      <c r="H88" s="172"/>
      <c r="I88" s="202"/>
      <c r="J88" s="203" t="s">
        <v>137</v>
      </c>
    </row>
    <row r="89" s="14" customFormat="1" ht="19.15" hidden="1" spans="1:10">
      <c r="A89" s="29" t="str">
        <f t="shared" si="8"/>
        <v>Y</v>
      </c>
      <c r="B89" s="15"/>
      <c r="C89" s="16"/>
      <c r="D89" s="16"/>
      <c r="E89" s="15"/>
      <c r="F89" s="17"/>
      <c r="G89" s="173"/>
      <c r="H89" s="174"/>
      <c r="I89" s="174"/>
      <c r="J89" s="204" t="s">
        <v>138</v>
      </c>
    </row>
    <row r="90" s="14" customFormat="1" ht="15.75" spans="1:10">
      <c r="A90" s="29" t="str">
        <f t="shared" si="8"/>
        <v>Y</v>
      </c>
      <c r="B90" s="15">
        <v>7</v>
      </c>
      <c r="C90" s="15"/>
      <c r="D90" s="15"/>
      <c r="E90" s="15"/>
      <c r="F90" s="17" t="str">
        <f t="shared" ref="F90:F93" si="9">IF(G90="","",LEFT(H90,75))</f>
        <v>DL360 G10 (VM Server)</v>
      </c>
      <c r="G90" s="64" t="s">
        <v>17</v>
      </c>
      <c r="H90" s="65" t="s">
        <v>139</v>
      </c>
      <c r="I90" s="132" t="s">
        <v>19</v>
      </c>
      <c r="J90" s="133" t="s">
        <v>20</v>
      </c>
    </row>
    <row r="91" s="14" customFormat="1" ht="300" spans="1:10">
      <c r="A91" s="29" t="str">
        <f t="shared" ref="A91:A95" si="10">IF(ISBLANK(J91)=TRUE,"Y",IF(J91=0,"N","Y"))</f>
        <v>Y</v>
      </c>
      <c r="B91" s="15">
        <v>8</v>
      </c>
      <c r="C91" s="16" t="s">
        <v>21</v>
      </c>
      <c r="D91" s="16" t="s">
        <v>22</v>
      </c>
      <c r="E91" s="16" t="s">
        <v>23</v>
      </c>
      <c r="F91" s="17" t="str">
        <f t="shared" si="9"/>
        <v>HPE ProLiant DL360 Gen10 SMB Network Choice - rack-mountable - Xeon 4208 2.</v>
      </c>
      <c r="G91" s="72" t="s">
        <v>72</v>
      </c>
      <c r="H91" s="73" t="s">
        <v>73</v>
      </c>
      <c r="I91" s="142" t="s">
        <v>26</v>
      </c>
      <c r="J91" s="205">
        <v>1</v>
      </c>
    </row>
    <row r="92" s="14" customFormat="1" ht="15.75" customHeight="1" spans="1:10">
      <c r="A92" s="29" t="str">
        <f t="shared" si="10"/>
        <v>Y</v>
      </c>
      <c r="B92" s="15"/>
      <c r="C92" s="16"/>
      <c r="D92" s="16"/>
      <c r="E92" s="16"/>
      <c r="F92" s="17"/>
      <c r="G92" s="46" t="s">
        <v>74</v>
      </c>
      <c r="H92" s="47" t="s">
        <v>75</v>
      </c>
      <c r="I92" s="126" t="s">
        <v>76</v>
      </c>
      <c r="J92" s="206">
        <f>1*J91</f>
        <v>1</v>
      </c>
    </row>
    <row r="93" s="14" customFormat="1" ht="45" spans="1:10">
      <c r="A93" s="29" t="str">
        <f t="shared" si="10"/>
        <v>Y</v>
      </c>
      <c r="B93" s="15">
        <v>9</v>
      </c>
      <c r="C93" s="15" t="s">
        <v>21</v>
      </c>
      <c r="D93" s="15" t="s">
        <v>22</v>
      </c>
      <c r="E93" s="15" t="s">
        <v>23</v>
      </c>
      <c r="F93" s="17" t="str">
        <f t="shared" si="9"/>
        <v>HPE 16GB (1x16GB) Dual Rank x8 DDR4-2933 CAS-21-21-21 Registered Smart Memo</v>
      </c>
      <c r="G93" s="74" t="s">
        <v>77</v>
      </c>
      <c r="H93" s="75" t="s">
        <v>78</v>
      </c>
      <c r="I93" s="126" t="s">
        <v>140</v>
      </c>
      <c r="J93" s="206">
        <v>7</v>
      </c>
    </row>
    <row r="94" s="14" customFormat="1" spans="1:10">
      <c r="A94" s="29" t="str">
        <f t="shared" si="10"/>
        <v>Y</v>
      </c>
      <c r="B94" s="15"/>
      <c r="C94" s="15"/>
      <c r="D94" s="15"/>
      <c r="E94" s="15"/>
      <c r="F94" s="17"/>
      <c r="G94" s="46" t="s">
        <v>80</v>
      </c>
      <c r="H94" s="47" t="s">
        <v>81</v>
      </c>
      <c r="I94" s="122" t="s">
        <v>32</v>
      </c>
      <c r="J94" s="206">
        <f>2*J91</f>
        <v>2</v>
      </c>
    </row>
    <row r="95" s="14" customFormat="1" spans="1:10">
      <c r="A95" s="29" t="str">
        <f t="shared" si="10"/>
        <v>Y</v>
      </c>
      <c r="B95" s="15"/>
      <c r="C95" s="15"/>
      <c r="D95" s="15"/>
      <c r="E95" s="15"/>
      <c r="F95" s="17"/>
      <c r="G95" s="46" t="s">
        <v>141</v>
      </c>
      <c r="H95" s="47" t="s">
        <v>142</v>
      </c>
      <c r="I95" s="122" t="s">
        <v>143</v>
      </c>
      <c r="J95" s="206">
        <v>4</v>
      </c>
    </row>
    <row r="96" s="14" customFormat="1" hidden="1" spans="1:10">
      <c r="A96" s="29" t="str">
        <f>IF(ISBLANK(J95)=TRUE,"Y",IF(J95=0,"N","Y"))</f>
        <v>Y</v>
      </c>
      <c r="B96" s="15"/>
      <c r="C96" s="15"/>
      <c r="D96" s="15"/>
      <c r="E96" s="15"/>
      <c r="F96" s="17"/>
      <c r="G96" s="175" t="s">
        <v>144</v>
      </c>
      <c r="H96" s="52" t="s">
        <v>145</v>
      </c>
      <c r="I96" s="144"/>
      <c r="J96" s="207">
        <f>IF(J94+J95&lt;=8,0,IF(J94+J95&gt;8,1))</f>
        <v>0</v>
      </c>
    </row>
    <row r="97" s="14" customFormat="1" spans="1:10">
      <c r="A97" s="29" t="str">
        <f t="shared" ref="A97:A109" si="11">IF(ISBLANK(J97)=TRUE,"Y",IF(J97=0,"N","Y"))</f>
        <v>Y</v>
      </c>
      <c r="B97" s="15"/>
      <c r="C97" s="15"/>
      <c r="D97" s="15"/>
      <c r="E97" s="15"/>
      <c r="F97" s="17"/>
      <c r="G97" s="76" t="s">
        <v>83</v>
      </c>
      <c r="H97" s="52" t="s">
        <v>84</v>
      </c>
      <c r="I97" s="144"/>
      <c r="J97" s="207">
        <f>1*J91</f>
        <v>1</v>
      </c>
    </row>
    <row r="98" s="14" customFormat="1" ht="15.75" customHeight="1" spans="1:10">
      <c r="A98" s="29" t="str">
        <f t="shared" si="11"/>
        <v>Y</v>
      </c>
      <c r="B98" s="15"/>
      <c r="C98" s="15"/>
      <c r="D98" s="15"/>
      <c r="E98" s="15"/>
      <c r="F98" s="17"/>
      <c r="G98" s="46" t="s">
        <v>54</v>
      </c>
      <c r="H98" s="47" t="s">
        <v>55</v>
      </c>
      <c r="I98" s="126" t="s">
        <v>56</v>
      </c>
      <c r="J98" s="206">
        <f>1*J91</f>
        <v>1</v>
      </c>
    </row>
    <row r="99" s="14" customFormat="1" ht="15.75" customHeight="1" spans="1:10">
      <c r="A99" s="29" t="str">
        <f t="shared" si="11"/>
        <v>Y</v>
      </c>
      <c r="B99" s="15">
        <v>12</v>
      </c>
      <c r="C99" s="16" t="s">
        <v>21</v>
      </c>
      <c r="D99" s="16" t="s">
        <v>22</v>
      </c>
      <c r="E99" s="15" t="s">
        <v>23</v>
      </c>
      <c r="F99" s="17" t="str">
        <f>IF(G99="","",LEFT(H99,75))</f>
        <v>HPE Mobile USB DVD-RW Optical Drive</v>
      </c>
      <c r="G99" s="46" t="s">
        <v>38</v>
      </c>
      <c r="H99" s="47" t="s">
        <v>39</v>
      </c>
      <c r="I99" s="146"/>
      <c r="J99" s="207">
        <f>1*J91</f>
        <v>1</v>
      </c>
    </row>
    <row r="100" s="14" customFormat="1" ht="15.75" customHeight="1" spans="1:10">
      <c r="A100" s="29" t="str">
        <f t="shared" si="11"/>
        <v>Y</v>
      </c>
      <c r="B100" s="15"/>
      <c r="C100" s="16"/>
      <c r="D100" s="16"/>
      <c r="E100" s="15"/>
      <c r="F100" s="17"/>
      <c r="G100" s="55" t="s">
        <v>44</v>
      </c>
      <c r="H100" s="56" t="s">
        <v>85</v>
      </c>
      <c r="I100" s="146" t="s">
        <v>46</v>
      </c>
      <c r="J100" s="207">
        <f>1*J91</f>
        <v>1</v>
      </c>
    </row>
    <row r="101" s="14" customFormat="1" ht="15.75" customHeight="1" spans="1:10">
      <c r="A101" s="29" t="str">
        <f t="shared" si="11"/>
        <v>Y</v>
      </c>
      <c r="B101" s="15"/>
      <c r="C101" s="16"/>
      <c r="D101" s="16"/>
      <c r="E101" s="15"/>
      <c r="F101" s="17"/>
      <c r="G101" s="55" t="s">
        <v>86</v>
      </c>
      <c r="H101" s="56" t="s">
        <v>87</v>
      </c>
      <c r="I101" s="147" t="s">
        <v>88</v>
      </c>
      <c r="J101" s="206">
        <f>1*J91</f>
        <v>1</v>
      </c>
    </row>
    <row r="102" s="14" customFormat="1" ht="15.75" customHeight="1" spans="1:10">
      <c r="A102" s="29" t="str">
        <f t="shared" si="11"/>
        <v>Y</v>
      </c>
      <c r="B102" s="15"/>
      <c r="C102" s="16"/>
      <c r="D102" s="16"/>
      <c r="E102" s="15"/>
      <c r="F102" s="17"/>
      <c r="G102" s="55" t="s">
        <v>47</v>
      </c>
      <c r="H102" s="56" t="s">
        <v>48</v>
      </c>
      <c r="I102" s="147"/>
      <c r="J102" s="206">
        <f>1*J91</f>
        <v>1</v>
      </c>
    </row>
    <row r="103" s="14" customFormat="1" ht="15.75" customHeight="1" spans="1:10">
      <c r="A103" s="29" t="str">
        <f t="shared" si="11"/>
        <v>Y</v>
      </c>
      <c r="B103" s="15"/>
      <c r="C103" s="16"/>
      <c r="D103" s="16"/>
      <c r="E103" s="15"/>
      <c r="F103" s="17"/>
      <c r="G103" s="55" t="s">
        <v>89</v>
      </c>
      <c r="H103" s="56" t="s">
        <v>90</v>
      </c>
      <c r="I103" s="147"/>
      <c r="J103" s="206">
        <f>J92*1</f>
        <v>1</v>
      </c>
    </row>
    <row r="104" s="14" customFormat="1" spans="1:10">
      <c r="A104" s="29" t="str">
        <f t="shared" si="11"/>
        <v>Y</v>
      </c>
      <c r="B104" s="15"/>
      <c r="C104" s="15"/>
      <c r="D104" s="15"/>
      <c r="E104" s="15"/>
      <c r="F104" s="17"/>
      <c r="G104" s="77" t="s">
        <v>51</v>
      </c>
      <c r="H104" s="52" t="s">
        <v>91</v>
      </c>
      <c r="I104" s="47" t="s">
        <v>53</v>
      </c>
      <c r="J104" s="206">
        <f>2*J91</f>
        <v>2</v>
      </c>
    </row>
    <row r="105" s="14" customFormat="1" spans="1:10">
      <c r="A105" s="29" t="str">
        <f t="shared" si="11"/>
        <v>Y</v>
      </c>
      <c r="B105" s="15">
        <v>11</v>
      </c>
      <c r="C105" s="16" t="s">
        <v>21</v>
      </c>
      <c r="D105" s="16" t="s">
        <v>22</v>
      </c>
      <c r="E105" s="15" t="s">
        <v>23</v>
      </c>
      <c r="F105" s="17" t="str">
        <f>IF(G105="","",LEFT(H105,75))</f>
        <v>HPE iLO Advanced Electronic License with 3yr Support on iLO Licensed Featur</v>
      </c>
      <c r="G105" s="78" t="s">
        <v>59</v>
      </c>
      <c r="H105" s="79" t="s">
        <v>60</v>
      </c>
      <c r="I105" s="79"/>
      <c r="J105" s="208">
        <f>1*J91</f>
        <v>1</v>
      </c>
    </row>
    <row r="106" s="14" customFormat="1" ht="45.75" spans="1:10">
      <c r="A106" s="29" t="str">
        <f t="shared" si="11"/>
        <v>Y</v>
      </c>
      <c r="B106" s="15"/>
      <c r="C106" s="15"/>
      <c r="D106" s="15"/>
      <c r="E106" s="15"/>
      <c r="F106" s="17"/>
      <c r="G106" s="80" t="s">
        <v>92</v>
      </c>
      <c r="H106" s="81" t="s">
        <v>93</v>
      </c>
      <c r="I106" s="146" t="s">
        <v>94</v>
      </c>
      <c r="J106" s="206">
        <f>1*J91</f>
        <v>1</v>
      </c>
    </row>
    <row r="107" s="14" customFormat="1" ht="19.2" spans="1:10">
      <c r="A107" s="29" t="str">
        <f t="shared" si="11"/>
        <v>Y</v>
      </c>
      <c r="B107" s="15"/>
      <c r="C107" s="15"/>
      <c r="D107" s="15"/>
      <c r="E107" s="15"/>
      <c r="F107" s="17"/>
      <c r="G107" s="176"/>
      <c r="H107" s="177"/>
      <c r="I107" s="209" t="s">
        <v>64</v>
      </c>
      <c r="J107" s="210"/>
    </row>
    <row r="108" s="14" customFormat="1" ht="15.75" spans="1:11">
      <c r="A108" s="29" t="str">
        <f t="shared" si="11"/>
        <v>Y</v>
      </c>
      <c r="B108" s="15"/>
      <c r="C108" s="15"/>
      <c r="D108" s="15"/>
      <c r="E108" s="15"/>
      <c r="F108" s="17"/>
      <c r="G108" s="64" t="s">
        <v>17</v>
      </c>
      <c r="H108" s="65" t="s">
        <v>65</v>
      </c>
      <c r="I108" s="132" t="s">
        <v>19</v>
      </c>
      <c r="J108" s="133" t="s">
        <v>20</v>
      </c>
      <c r="K108" s="152"/>
    </row>
    <row r="109" s="14" customFormat="1" ht="75.75" spans="1:11">
      <c r="A109" s="29" t="str">
        <f t="shared" si="11"/>
        <v>Y</v>
      </c>
      <c r="B109" s="15">
        <v>26</v>
      </c>
      <c r="C109" s="15" t="s">
        <v>102</v>
      </c>
      <c r="D109" s="15" t="s">
        <v>22</v>
      </c>
      <c r="E109" s="15" t="s">
        <v>103</v>
      </c>
      <c r="F109" s="17" t="str">
        <f>IF(G109="","",LEFT(H109,75))</f>
        <v/>
      </c>
      <c r="G109" s="178"/>
      <c r="H109" s="179" t="s">
        <v>104</v>
      </c>
      <c r="I109" s="211" t="s">
        <v>146</v>
      </c>
      <c r="J109" s="212">
        <f>(J91)*2</f>
        <v>2</v>
      </c>
      <c r="K109" s="152"/>
    </row>
    <row r="110" s="14" customFormat="1" ht="15.75" hidden="1" spans="1:11">
      <c r="A110" s="29" t="str">
        <f>IF(A111="Y","Y","N")</f>
        <v>N</v>
      </c>
      <c r="B110" s="15"/>
      <c r="C110" s="15"/>
      <c r="D110" s="15"/>
      <c r="E110" s="15"/>
      <c r="F110" s="17"/>
      <c r="G110" s="64" t="s">
        <v>17</v>
      </c>
      <c r="H110" s="180" t="s">
        <v>147</v>
      </c>
      <c r="I110" s="132" t="s">
        <v>19</v>
      </c>
      <c r="J110" s="133" t="s">
        <v>20</v>
      </c>
      <c r="K110" s="152"/>
    </row>
    <row r="111" s="14" customFormat="1" ht="60" hidden="1" spans="1:11">
      <c r="A111" s="29" t="str">
        <f t="shared" ref="A111:A115" si="12">IF(ISBLANK(J111)=TRUE,"Y",IF(J111=0,"N","Y"))</f>
        <v>N</v>
      </c>
      <c r="B111" s="15"/>
      <c r="C111" s="15"/>
      <c r="D111" s="15"/>
      <c r="E111" s="15"/>
      <c r="F111" s="17"/>
      <c r="G111" s="181" t="s">
        <v>148</v>
      </c>
      <c r="H111" s="179" t="s">
        <v>149</v>
      </c>
      <c r="I111" s="211" t="s">
        <v>150</v>
      </c>
      <c r="J111" s="213">
        <v>0</v>
      </c>
      <c r="K111" s="152"/>
    </row>
    <row r="112" s="14" customFormat="1" ht="55.5" hidden="1" customHeight="1" spans="1:11">
      <c r="A112" s="29" t="str">
        <f t="shared" si="12"/>
        <v>N</v>
      </c>
      <c r="B112" s="15"/>
      <c r="C112" s="15"/>
      <c r="D112" s="15"/>
      <c r="E112" s="15"/>
      <c r="F112" s="17"/>
      <c r="G112" s="182" t="s">
        <v>151</v>
      </c>
      <c r="H112" s="183" t="s">
        <v>152</v>
      </c>
      <c r="I112" s="121" t="s">
        <v>153</v>
      </c>
      <c r="J112" s="214">
        <v>0</v>
      </c>
      <c r="K112" s="152"/>
    </row>
    <row r="113" s="14" customFormat="1" ht="15.75" hidden="1" spans="1:11">
      <c r="A113" s="29" t="str">
        <f t="shared" si="12"/>
        <v>Y</v>
      </c>
      <c r="B113" s="15"/>
      <c r="C113" s="15"/>
      <c r="D113" s="15"/>
      <c r="E113" s="15"/>
      <c r="F113" s="17"/>
      <c r="G113" s="64" t="s">
        <v>17</v>
      </c>
      <c r="H113" s="65" t="s">
        <v>154</v>
      </c>
      <c r="I113" s="132" t="s">
        <v>19</v>
      </c>
      <c r="J113" s="133" t="s">
        <v>20</v>
      </c>
      <c r="K113" s="152"/>
    </row>
    <row r="114" s="14" customFormat="1" ht="75" hidden="1" spans="1:11">
      <c r="A114" s="29" t="str">
        <f t="shared" si="12"/>
        <v>N</v>
      </c>
      <c r="B114" s="15"/>
      <c r="C114" s="15"/>
      <c r="D114" s="15"/>
      <c r="E114" s="15"/>
      <c r="F114" s="17"/>
      <c r="G114" s="181" t="s">
        <v>148</v>
      </c>
      <c r="H114" s="179" t="s">
        <v>149</v>
      </c>
      <c r="I114" s="211" t="s">
        <v>155</v>
      </c>
      <c r="J114" s="212">
        <v>0</v>
      </c>
      <c r="K114" s="152"/>
    </row>
    <row r="115" s="14" customFormat="1" ht="45.75" hidden="1" spans="1:11">
      <c r="A115" s="29" t="str">
        <f t="shared" si="12"/>
        <v>N</v>
      </c>
      <c r="B115" s="15"/>
      <c r="C115" s="15"/>
      <c r="D115" s="15"/>
      <c r="E115" s="15"/>
      <c r="F115" s="17"/>
      <c r="G115" s="182" t="s">
        <v>151</v>
      </c>
      <c r="H115" s="183" t="s">
        <v>152</v>
      </c>
      <c r="I115" s="121" t="s">
        <v>156</v>
      </c>
      <c r="J115" s="208">
        <f>J114*5</f>
        <v>0</v>
      </c>
      <c r="K115" s="152"/>
    </row>
    <row r="116" s="14" customFormat="1" ht="15.75" hidden="1" spans="1:11">
      <c r="A116" s="29" t="str">
        <f>IF(A117="Y","Y","N")</f>
        <v>N</v>
      </c>
      <c r="B116" s="15"/>
      <c r="C116" s="15"/>
      <c r="D116" s="15"/>
      <c r="E116" s="15"/>
      <c r="F116" s="17"/>
      <c r="G116" s="64" t="s">
        <v>17</v>
      </c>
      <c r="H116" s="65" t="s">
        <v>157</v>
      </c>
      <c r="I116" s="132" t="s">
        <v>19</v>
      </c>
      <c r="J116" s="133" t="s">
        <v>20</v>
      </c>
      <c r="K116" s="152"/>
    </row>
    <row r="117" s="14" customFormat="1" ht="75" hidden="1" spans="1:11">
      <c r="A117" s="29" t="str">
        <f t="shared" ref="A117:A121" si="13">IF(ISBLANK(J117)=TRUE,"Y",IF(J117=0,"N","Y"))</f>
        <v>N</v>
      </c>
      <c r="B117" s="15"/>
      <c r="C117" s="15"/>
      <c r="D117" s="15"/>
      <c r="E117" s="15"/>
      <c r="F117" s="17"/>
      <c r="G117" s="181" t="s">
        <v>148</v>
      </c>
      <c r="H117" s="179" t="s">
        <v>149</v>
      </c>
      <c r="I117" s="211" t="s">
        <v>158</v>
      </c>
      <c r="J117" s="212">
        <f>IF(G79&gt;0,1,0)</f>
        <v>0</v>
      </c>
      <c r="K117" s="152"/>
    </row>
    <row r="118" s="14" customFormat="1" ht="45.75" hidden="1" spans="1:11">
      <c r="A118" s="29" t="str">
        <f t="shared" si="13"/>
        <v>N</v>
      </c>
      <c r="B118" s="15"/>
      <c r="C118" s="15"/>
      <c r="D118" s="15"/>
      <c r="E118" s="15"/>
      <c r="F118" s="17"/>
      <c r="G118" s="182" t="s">
        <v>151</v>
      </c>
      <c r="H118" s="183" t="s">
        <v>152</v>
      </c>
      <c r="I118" s="121" t="s">
        <v>159</v>
      </c>
      <c r="J118" s="208">
        <f>J117*5</f>
        <v>0</v>
      </c>
      <c r="K118" s="152"/>
    </row>
    <row r="119" s="14" customFormat="1" ht="15.75" spans="1:11">
      <c r="A119" s="29" t="str">
        <f t="shared" si="13"/>
        <v>Y</v>
      </c>
      <c r="B119" s="15"/>
      <c r="C119" s="15"/>
      <c r="D119" s="15"/>
      <c r="E119" s="15"/>
      <c r="F119" s="17"/>
      <c r="G119" s="64" t="s">
        <v>17</v>
      </c>
      <c r="H119" s="65" t="s">
        <v>160</v>
      </c>
      <c r="I119" s="215" t="s">
        <v>19</v>
      </c>
      <c r="J119" s="133" t="s">
        <v>20</v>
      </c>
      <c r="K119" s="152"/>
    </row>
    <row r="120" s="14" customFormat="1" spans="1:11">
      <c r="A120" s="29" t="str">
        <f t="shared" si="13"/>
        <v>Y</v>
      </c>
      <c r="B120" s="15"/>
      <c r="C120" s="15"/>
      <c r="D120" s="15"/>
      <c r="E120" s="15"/>
      <c r="F120" s="17"/>
      <c r="G120" s="184">
        <v>21113005</v>
      </c>
      <c r="H120" s="179" t="s">
        <v>161</v>
      </c>
      <c r="I120" s="216"/>
      <c r="J120" s="206">
        <f>G66</f>
        <v>1</v>
      </c>
      <c r="K120" s="152"/>
    </row>
    <row r="121" s="14" customFormat="1" hidden="1" spans="1:11">
      <c r="A121" s="29" t="str">
        <f t="shared" si="13"/>
        <v>N</v>
      </c>
      <c r="B121" s="15"/>
      <c r="C121" s="15"/>
      <c r="D121" s="15"/>
      <c r="E121" s="15"/>
      <c r="F121" s="17"/>
      <c r="G121" s="185">
        <v>11123006</v>
      </c>
      <c r="H121" s="186" t="s">
        <v>162</v>
      </c>
      <c r="I121" s="216"/>
      <c r="J121" s="206">
        <v>0</v>
      </c>
      <c r="K121" s="152"/>
    </row>
    <row r="122" s="14" customFormat="1" spans="1:11">
      <c r="A122" s="29" t="e">
        <f>IF(ISBLANK(#REF!)=TRUE,"Y",IF(#REF!=0,"N","Y"))</f>
        <v>#REF!</v>
      </c>
      <c r="B122" s="15"/>
      <c r="C122" s="15"/>
      <c r="D122" s="15"/>
      <c r="E122" s="15"/>
      <c r="F122" s="17"/>
      <c r="G122" s="187"/>
      <c r="H122" s="188"/>
      <c r="I122" s="217" t="s">
        <v>69</v>
      </c>
      <c r="J122" s="218"/>
      <c r="K122" s="152"/>
    </row>
    <row r="123" s="14" customFormat="1" ht="15.75" spans="1:11">
      <c r="A123" s="29" t="e">
        <f>IF(ISBLANK(#REF!)=TRUE,"Y",IF(#REF!=0,"N","Y"))</f>
        <v>#REF!</v>
      </c>
      <c r="B123" s="15"/>
      <c r="C123" s="15"/>
      <c r="D123" s="15"/>
      <c r="E123" s="15"/>
      <c r="F123" s="17"/>
      <c r="G123" s="189"/>
      <c r="H123" s="190"/>
      <c r="I123" s="219" t="s">
        <v>163</v>
      </c>
      <c r="J123" s="220"/>
      <c r="K123" s="152"/>
    </row>
    <row r="124" s="14" customFormat="1" ht="16.6" spans="1:11">
      <c r="A124" s="29"/>
      <c r="B124" s="15"/>
      <c r="C124" s="15"/>
      <c r="D124" s="15"/>
      <c r="E124" s="15"/>
      <c r="F124" s="17"/>
      <c r="G124" s="191"/>
      <c r="H124" s="192"/>
      <c r="I124" s="221"/>
      <c r="J124" s="222"/>
      <c r="K124" s="152"/>
    </row>
    <row r="125" s="14" customFormat="1" ht="20.85" hidden="1" spans="1:10">
      <c r="A125" s="29" t="str">
        <f>IF(A128="Y","Y","N")</f>
        <v>N</v>
      </c>
      <c r="B125" s="15">
        <v>91</v>
      </c>
      <c r="C125" s="16"/>
      <c r="D125" s="16"/>
      <c r="E125" s="16"/>
      <c r="F125" s="17" t="str">
        <f t="shared" ref="F125:F128" si="14">IF(G125="","",LEFT(H125,75))</f>
        <v/>
      </c>
      <c r="G125" s="193" t="s">
        <v>164</v>
      </c>
      <c r="H125" s="194"/>
      <c r="I125" s="223"/>
      <c r="J125" s="194"/>
    </row>
    <row r="126" s="13" customFormat="1" ht="62.1" hidden="1" customHeight="1" spans="1:10">
      <c r="A126" s="29" t="str">
        <f>IF(A128="Y","Y","N")</f>
        <v>N</v>
      </c>
      <c r="B126" s="15"/>
      <c r="C126" s="15"/>
      <c r="D126" s="15"/>
      <c r="E126" s="15"/>
      <c r="F126" s="17"/>
      <c r="G126" s="195" t="s">
        <v>165</v>
      </c>
      <c r="H126" s="196"/>
      <c r="I126" s="224"/>
      <c r="J126" s="224"/>
    </row>
    <row r="127" s="14" customFormat="1" hidden="1" spans="1:10">
      <c r="A127" s="29" t="str">
        <f>IF(A128="Y","Y","N")</f>
        <v>N</v>
      </c>
      <c r="B127" s="15">
        <v>234</v>
      </c>
      <c r="C127" s="16"/>
      <c r="D127" s="16"/>
      <c r="E127" s="16"/>
      <c r="F127" s="17" t="str">
        <f t="shared" si="14"/>
        <v>DL360 G10</v>
      </c>
      <c r="G127" s="84" t="s">
        <v>17</v>
      </c>
      <c r="H127" s="85" t="s">
        <v>166</v>
      </c>
      <c r="I127" s="117" t="s">
        <v>19</v>
      </c>
      <c r="J127" s="225" t="s">
        <v>20</v>
      </c>
    </row>
    <row r="128" s="14" customFormat="1" ht="300" hidden="1" spans="1:10">
      <c r="A128" s="29" t="str">
        <f t="shared" ref="A128:A132" si="15">IF(ISBLANK(J128)=TRUE,"Y",IF(J128=0,"N","Y"))</f>
        <v>N</v>
      </c>
      <c r="B128" s="15">
        <v>235</v>
      </c>
      <c r="C128" s="15" t="s">
        <v>21</v>
      </c>
      <c r="D128" s="15" t="s">
        <v>22</v>
      </c>
      <c r="E128" s="15" t="s">
        <v>23</v>
      </c>
      <c r="F128" s="17" t="str">
        <f t="shared" si="14"/>
        <v>HPE ProLiant DL360 Gen10 SMB Network Choice - rack-mountable - Xeon 4208 2.</v>
      </c>
      <c r="G128" s="72" t="s">
        <v>72</v>
      </c>
      <c r="H128" s="73" t="s">
        <v>73</v>
      </c>
      <c r="I128" s="119" t="s">
        <v>167</v>
      </c>
      <c r="J128" s="206">
        <f>(I68=1)*1</f>
        <v>0</v>
      </c>
    </row>
    <row r="129" s="14" customFormat="1" ht="18" hidden="1" customHeight="1" spans="1:10">
      <c r="A129" s="29" t="str">
        <f t="shared" si="15"/>
        <v>N</v>
      </c>
      <c r="B129" s="15"/>
      <c r="C129" s="15"/>
      <c r="D129" s="15"/>
      <c r="E129" s="15"/>
      <c r="F129" s="17"/>
      <c r="G129" s="74" t="s">
        <v>77</v>
      </c>
      <c r="H129" s="75" t="s">
        <v>78</v>
      </c>
      <c r="I129" s="126"/>
      <c r="J129" s="206">
        <f>1*J128</f>
        <v>0</v>
      </c>
    </row>
    <row r="130" s="14" customFormat="1" ht="30" hidden="1" spans="1:10">
      <c r="A130" s="29" t="str">
        <f t="shared" si="15"/>
        <v>N</v>
      </c>
      <c r="B130" s="15"/>
      <c r="C130" s="15"/>
      <c r="D130" s="15"/>
      <c r="E130" s="15"/>
      <c r="F130" s="17"/>
      <c r="G130" s="46" t="s">
        <v>80</v>
      </c>
      <c r="H130" s="47" t="s">
        <v>81</v>
      </c>
      <c r="I130" s="124" t="s">
        <v>168</v>
      </c>
      <c r="J130" s="206">
        <f>J128*4</f>
        <v>0</v>
      </c>
    </row>
    <row r="131" s="14" customFormat="1" ht="15.75" hidden="1" customHeight="1" spans="1:10">
      <c r="A131" s="29" t="str">
        <f t="shared" si="15"/>
        <v>N</v>
      </c>
      <c r="B131" s="15">
        <v>10</v>
      </c>
      <c r="C131" s="15" t="s">
        <v>21</v>
      </c>
      <c r="D131" s="15" t="s">
        <v>22</v>
      </c>
      <c r="E131" s="15" t="s">
        <v>23</v>
      </c>
      <c r="F131" s="17" t="str">
        <f>IF(G131="","",LEFT(H131,75))</f>
        <v>HP 500W Flex Slot Platinum Hot Plug Low Halogen Power Suppy Kit</v>
      </c>
      <c r="G131" s="55" t="s">
        <v>54</v>
      </c>
      <c r="H131" s="226" t="s">
        <v>169</v>
      </c>
      <c r="I131" s="47"/>
      <c r="J131" s="206">
        <f>1*J128</f>
        <v>0</v>
      </c>
    </row>
    <row r="132" s="14" customFormat="1" hidden="1" spans="1:10">
      <c r="A132" s="29" t="str">
        <f t="shared" si="15"/>
        <v>N</v>
      </c>
      <c r="B132" s="15"/>
      <c r="C132" s="15"/>
      <c r="D132" s="15"/>
      <c r="E132" s="15"/>
      <c r="F132" s="17"/>
      <c r="G132" s="55" t="s">
        <v>44</v>
      </c>
      <c r="H132" s="56" t="s">
        <v>85</v>
      </c>
      <c r="I132" s="47" t="s">
        <v>46</v>
      </c>
      <c r="J132" s="206">
        <f>1*J128</f>
        <v>0</v>
      </c>
    </row>
    <row r="133" s="14" customFormat="1" hidden="1" spans="1:10">
      <c r="A133" s="29" t="str">
        <f t="shared" ref="A133:A135" si="16">IF(ISBLANK(J134)=TRUE,"Y",IF(J134=0,"N","Y"))</f>
        <v>N</v>
      </c>
      <c r="B133" s="15"/>
      <c r="C133" s="15"/>
      <c r="D133" s="15"/>
      <c r="E133" s="15"/>
      <c r="F133" s="17"/>
      <c r="G133" s="55" t="s">
        <v>86</v>
      </c>
      <c r="H133" s="56" t="s">
        <v>87</v>
      </c>
      <c r="I133" s="147" t="s">
        <v>88</v>
      </c>
      <c r="J133" s="206">
        <f>1*J128</f>
        <v>0</v>
      </c>
    </row>
    <row r="134" s="14" customFormat="1" hidden="1" spans="1:10">
      <c r="A134" s="29" t="str">
        <f t="shared" si="16"/>
        <v>N</v>
      </c>
      <c r="B134" s="15"/>
      <c r="C134" s="15"/>
      <c r="D134" s="15"/>
      <c r="E134" s="15"/>
      <c r="F134" s="17"/>
      <c r="G134" s="55" t="s">
        <v>47</v>
      </c>
      <c r="H134" s="56" t="s">
        <v>48</v>
      </c>
      <c r="I134" s="147"/>
      <c r="J134" s="206">
        <f>1*J128</f>
        <v>0</v>
      </c>
    </row>
    <row r="135" s="14" customFormat="1" hidden="1" spans="1:10">
      <c r="A135" s="29" t="str">
        <f t="shared" si="16"/>
        <v>N</v>
      </c>
      <c r="B135" s="15"/>
      <c r="C135" s="15"/>
      <c r="D135" s="15"/>
      <c r="E135" s="15"/>
      <c r="F135" s="17"/>
      <c r="G135" s="55" t="s">
        <v>89</v>
      </c>
      <c r="H135" s="56" t="s">
        <v>90</v>
      </c>
      <c r="I135" s="147"/>
      <c r="J135" s="206">
        <f>1*J128</f>
        <v>0</v>
      </c>
    </row>
    <row r="136" s="14" customFormat="1" hidden="1" spans="1:10">
      <c r="A136" s="29" t="str">
        <f t="shared" ref="A136:A138" si="17">IF(ISBLANK(J136)=TRUE,"Y",IF(J136=0,"N","Y"))</f>
        <v>N</v>
      </c>
      <c r="B136" s="15"/>
      <c r="C136" s="15"/>
      <c r="D136" s="15"/>
      <c r="E136" s="16"/>
      <c r="F136" s="17"/>
      <c r="G136" s="77" t="s">
        <v>51</v>
      </c>
      <c r="H136" s="52" t="s">
        <v>91</v>
      </c>
      <c r="I136" s="47" t="s">
        <v>53</v>
      </c>
      <c r="J136" s="206">
        <f>J128*2</f>
        <v>0</v>
      </c>
    </row>
    <row r="137" s="14" customFormat="1" hidden="1" spans="1:10">
      <c r="A137" s="29" t="str">
        <f t="shared" si="17"/>
        <v>N</v>
      </c>
      <c r="B137" s="15"/>
      <c r="C137" s="15"/>
      <c r="D137" s="15"/>
      <c r="E137" s="16"/>
      <c r="F137" s="17"/>
      <c r="G137" s="78" t="s">
        <v>59</v>
      </c>
      <c r="H137" s="79" t="s">
        <v>60</v>
      </c>
      <c r="I137" s="79"/>
      <c r="J137" s="208">
        <f>1*J128</f>
        <v>0</v>
      </c>
    </row>
    <row r="138" s="14" customFormat="1" ht="45.75" hidden="1" spans="1:10">
      <c r="A138" s="29" t="str">
        <f t="shared" si="17"/>
        <v>N</v>
      </c>
      <c r="B138" s="15"/>
      <c r="C138" s="15"/>
      <c r="D138" s="15"/>
      <c r="E138" s="15"/>
      <c r="F138" s="17"/>
      <c r="G138" s="80" t="s">
        <v>92</v>
      </c>
      <c r="H138" s="81" t="s">
        <v>93</v>
      </c>
      <c r="I138" s="260" t="s">
        <v>94</v>
      </c>
      <c r="J138" s="261">
        <f>1*J128</f>
        <v>0</v>
      </c>
    </row>
    <row r="139" s="14" customFormat="1" ht="18" hidden="1" customHeight="1" spans="1:10">
      <c r="A139" s="29" t="e">
        <f>IF(ISBLANK(#REF!)=TRUE,"Y",IF(#REF!=0,"N","Y"))</f>
        <v>#REF!</v>
      </c>
      <c r="B139" s="15"/>
      <c r="C139" s="15"/>
      <c r="D139" s="15"/>
      <c r="E139" s="15"/>
      <c r="F139" s="17"/>
      <c r="G139" s="227"/>
      <c r="H139" s="228"/>
      <c r="I139" s="262"/>
      <c r="J139" s="263"/>
    </row>
    <row r="140" s="14" customFormat="1" ht="15.75" hidden="1" spans="1:10">
      <c r="A140" s="29" t="str">
        <f>IF(J128&gt;0,"Y","N")</f>
        <v>N</v>
      </c>
      <c r="B140" s="15">
        <v>104</v>
      </c>
      <c r="C140" s="15"/>
      <c r="D140" s="15"/>
      <c r="E140" s="15"/>
      <c r="F140" s="17" t="str">
        <f t="shared" ref="F140:F144" si="18">IF(G140="","",LEFT(H140,75))</f>
        <v>SOFTWARE</v>
      </c>
      <c r="G140" s="64" t="s">
        <v>17</v>
      </c>
      <c r="H140" s="65" t="s">
        <v>65</v>
      </c>
      <c r="I140" s="132" t="s">
        <v>19</v>
      </c>
      <c r="J140" s="133" t="s">
        <v>20</v>
      </c>
    </row>
    <row r="141" s="14" customFormat="1" ht="45" hidden="1" spans="1:10">
      <c r="A141" s="29" t="str">
        <f>IF(ISBLANK(J141)=TRUE,"Y",IF(J141=0,"N","Y"))</f>
        <v>N</v>
      </c>
      <c r="B141" s="15">
        <v>105</v>
      </c>
      <c r="C141" s="15" t="s">
        <v>102</v>
      </c>
      <c r="D141" s="15" t="s">
        <v>22</v>
      </c>
      <c r="E141" s="15" t="s">
        <v>103</v>
      </c>
      <c r="F141" s="17" t="str">
        <f t="shared" si="18"/>
        <v>Windows 2019 Standard Server license - English
** MI parts, 1 QTY with 2 co</v>
      </c>
      <c r="G141" s="229" t="s">
        <v>66</v>
      </c>
      <c r="H141" s="179" t="s">
        <v>170</v>
      </c>
      <c r="I141" s="264" t="s">
        <v>171</v>
      </c>
      <c r="J141" s="205">
        <f>(J128)*8</f>
        <v>0</v>
      </c>
    </row>
    <row r="142" s="14" customFormat="1" hidden="1" spans="1:10">
      <c r="A142" s="29" t="str">
        <f>IF(ISBLANK(J142)=TRUE,"Y",IF(J142=0,"N","Y"))</f>
        <v>N</v>
      </c>
      <c r="B142" s="15"/>
      <c r="C142" s="15"/>
      <c r="D142" s="15"/>
      <c r="E142" s="15"/>
      <c r="F142" s="17"/>
      <c r="G142" s="178" t="s">
        <v>172</v>
      </c>
      <c r="H142" s="186" t="s">
        <v>173</v>
      </c>
      <c r="I142" s="265" t="s">
        <v>174</v>
      </c>
      <c r="J142" s="266">
        <v>0</v>
      </c>
    </row>
    <row r="143" s="14" customFormat="1" hidden="1" spans="1:10">
      <c r="A143" s="29" t="e">
        <f>IF(ISBLANK(#REF!)=TRUE,"Y",IF(#REF!=0,"N","Y"))</f>
        <v>#REF!</v>
      </c>
      <c r="B143" s="15">
        <v>110</v>
      </c>
      <c r="C143" s="16" t="s">
        <v>175</v>
      </c>
      <c r="D143" s="16" t="s">
        <v>22</v>
      </c>
      <c r="E143" s="16" t="s">
        <v>176</v>
      </c>
      <c r="F143" s="17" t="str">
        <f t="shared" si="18"/>
        <v/>
      </c>
      <c r="G143" s="187"/>
      <c r="H143" s="188"/>
      <c r="I143" s="217" t="s">
        <v>69</v>
      </c>
      <c r="J143" s="218"/>
    </row>
    <row r="144" s="14" customFormat="1" hidden="1" spans="1:10">
      <c r="A144" s="29" t="e">
        <f>IF(ISBLANK(#REF!)=TRUE,"Y",IF(#REF!=0,"N","Y"))</f>
        <v>#REF!</v>
      </c>
      <c r="B144" s="15">
        <v>112</v>
      </c>
      <c r="C144" s="15"/>
      <c r="D144" s="15"/>
      <c r="E144" s="15"/>
      <c r="F144" s="17" t="str">
        <f t="shared" si="18"/>
        <v/>
      </c>
      <c r="G144" s="230"/>
      <c r="H144" s="87"/>
      <c r="I144" s="267" t="s">
        <v>177</v>
      </c>
      <c r="J144" s="268"/>
    </row>
    <row r="145" s="14" customFormat="1" hidden="1" spans="1:10">
      <c r="A145" s="29"/>
      <c r="B145" s="15"/>
      <c r="C145" s="15"/>
      <c r="D145" s="15"/>
      <c r="E145" s="15"/>
      <c r="F145" s="17"/>
      <c r="G145" s="230"/>
      <c r="H145" s="87"/>
      <c r="I145" s="269"/>
      <c r="J145" s="270"/>
    </row>
    <row r="146" s="14" customFormat="1" ht="20.85" spans="1:10">
      <c r="A146" s="29" t="str">
        <f>IF(A149="Y","Y","N")</f>
        <v>N</v>
      </c>
      <c r="B146" s="15"/>
      <c r="C146" s="16"/>
      <c r="D146" s="16"/>
      <c r="E146" s="16"/>
      <c r="F146" s="17"/>
      <c r="G146" s="231" t="s">
        <v>178</v>
      </c>
      <c r="H146" s="232"/>
      <c r="I146" s="271"/>
      <c r="J146" s="232"/>
    </row>
    <row r="147" s="14" customFormat="1" ht="78.6" hidden="1" customHeight="1" spans="1:10">
      <c r="A147" s="22" t="str">
        <f>IF(ISBLANK(I149)=TRUE,"Y",IF(I149=0,"N","Y"))</f>
        <v>N</v>
      </c>
      <c r="B147" s="15"/>
      <c r="C147" s="16"/>
      <c r="D147" s="16"/>
      <c r="E147" s="16"/>
      <c r="F147" s="17"/>
      <c r="G147" s="233" t="s">
        <v>179</v>
      </c>
      <c r="H147" s="234"/>
      <c r="I147" s="272"/>
      <c r="J147" s="273"/>
    </row>
    <row r="148" s="15" customFormat="1" ht="15.75" hidden="1" spans="1:10">
      <c r="A148" s="29" t="str">
        <f>IF(A149="Y","Y","N")</f>
        <v>N</v>
      </c>
      <c r="F148" s="17"/>
      <c r="G148" s="235"/>
      <c r="H148" s="236" t="s">
        <v>113</v>
      </c>
      <c r="I148" s="236" t="s">
        <v>114</v>
      </c>
      <c r="J148" s="274" t="s">
        <v>180</v>
      </c>
    </row>
    <row r="149" s="15" customFormat="1" hidden="1" spans="1:10">
      <c r="A149" s="22" t="str">
        <f t="shared" ref="A149:A165" si="19">IF(ISBLANK(I149)=TRUE,"Y",IF(I149=0,"N","Y"))</f>
        <v>N</v>
      </c>
      <c r="F149" s="17"/>
      <c r="G149" s="237"/>
      <c r="H149" s="238" t="s">
        <v>119</v>
      </c>
      <c r="I149" s="275">
        <f t="shared" ref="I149:I165" si="20">I69</f>
        <v>0</v>
      </c>
      <c r="J149" s="276" t="str">
        <f>IF(I149+I150&gt;1,IF(I149+I150&gt;1,"Error,Only Choose 1","OK"),"OK")</f>
        <v>OK</v>
      </c>
    </row>
    <row r="150" s="15" customFormat="1" hidden="1" spans="1:10">
      <c r="A150" s="22" t="str">
        <f t="shared" si="19"/>
        <v>N</v>
      </c>
      <c r="F150" s="17"/>
      <c r="G150" s="239"/>
      <c r="H150" s="147" t="s">
        <v>181</v>
      </c>
      <c r="I150" s="277">
        <f t="shared" si="20"/>
        <v>0</v>
      </c>
      <c r="J150" s="198" t="str">
        <f>IF(I149+I150&gt;1,IF(I149+I150&gt;1,"Error,Only Choose 1","OK"),"OK")</f>
        <v>OK</v>
      </c>
    </row>
    <row r="151" s="15" customFormat="1" hidden="1" spans="1:10">
      <c r="A151" s="22" t="str">
        <f t="shared" si="19"/>
        <v>Y</v>
      </c>
      <c r="F151" s="17"/>
      <c r="G151" s="239"/>
      <c r="H151" s="147" t="s">
        <v>121</v>
      </c>
      <c r="I151" s="277">
        <f t="shared" si="20"/>
        <v>1</v>
      </c>
      <c r="J151" s="198" t="str">
        <f>IF(I151+I153&gt;1,IF(I151+114&gt;1,"Error","OK"),"OK")</f>
        <v>OK</v>
      </c>
    </row>
    <row r="152" s="15" customFormat="1" hidden="1" spans="1:10">
      <c r="A152" s="22" t="str">
        <f t="shared" si="19"/>
        <v>N</v>
      </c>
      <c r="F152" s="17"/>
      <c r="G152" s="239"/>
      <c r="H152" s="147" t="s">
        <v>182</v>
      </c>
      <c r="I152" s="277">
        <f t="shared" si="20"/>
        <v>0</v>
      </c>
      <c r="J152" s="198" t="str">
        <f>IF(I152+I154&gt;1,IF(I152+I154&gt;1,"Error,Only Choose 1","OK"),"OK")</f>
        <v>OK</v>
      </c>
    </row>
    <row r="153" s="15" customFormat="1" hidden="1" spans="1:10">
      <c r="A153" s="22" t="str">
        <f t="shared" si="19"/>
        <v>N</v>
      </c>
      <c r="F153" s="17"/>
      <c r="G153" s="239"/>
      <c r="H153" s="147" t="s">
        <v>123</v>
      </c>
      <c r="I153" s="277">
        <f t="shared" si="20"/>
        <v>0</v>
      </c>
      <c r="J153" s="198" t="str">
        <f>IF(I151+I153&gt;1,IF(I151+114&gt;1,"Error","OK"),"OK")</f>
        <v>OK</v>
      </c>
    </row>
    <row r="154" s="15" customFormat="1" ht="30" hidden="1" spans="1:10">
      <c r="A154" s="22" t="str">
        <f t="shared" si="19"/>
        <v>N</v>
      </c>
      <c r="F154" s="17"/>
      <c r="G154" s="239"/>
      <c r="H154" s="147" t="s">
        <v>124</v>
      </c>
      <c r="I154" s="277">
        <f t="shared" si="20"/>
        <v>0</v>
      </c>
      <c r="J154" s="198" t="str">
        <f>IF(I152+I154&gt;1,IF(I152+I154&gt;1,"Error,Only Choose 1","OK"),"OK")</f>
        <v>OK</v>
      </c>
    </row>
    <row r="155" s="15" customFormat="1" hidden="1" spans="1:10">
      <c r="A155" s="22" t="str">
        <f t="shared" si="19"/>
        <v>N</v>
      </c>
      <c r="F155" s="17"/>
      <c r="G155" s="239"/>
      <c r="H155" s="147" t="s">
        <v>125</v>
      </c>
      <c r="I155" s="277">
        <f t="shared" si="20"/>
        <v>0</v>
      </c>
      <c r="J155" s="198" t="str">
        <f t="shared" ref="J155:J161" si="21">IF(I155&lt;1,"OK","OK")</f>
        <v>OK</v>
      </c>
    </row>
    <row r="156" s="15" customFormat="1" hidden="1" spans="1:10">
      <c r="A156" s="22" t="str">
        <f t="shared" si="19"/>
        <v>N</v>
      </c>
      <c r="F156" s="17"/>
      <c r="G156" s="239"/>
      <c r="H156" s="147" t="s">
        <v>126</v>
      </c>
      <c r="I156" s="277">
        <f t="shared" si="20"/>
        <v>0</v>
      </c>
      <c r="J156" s="198" t="str">
        <f t="shared" si="21"/>
        <v>OK</v>
      </c>
    </row>
    <row r="157" s="15" customFormat="1" hidden="1" spans="1:10">
      <c r="A157" s="22" t="str">
        <f t="shared" si="19"/>
        <v>N</v>
      </c>
      <c r="F157" s="17"/>
      <c r="G157" s="239"/>
      <c r="H157" s="45" t="s">
        <v>127</v>
      </c>
      <c r="I157" s="277">
        <f t="shared" si="20"/>
        <v>0</v>
      </c>
      <c r="J157" s="198" t="str">
        <f t="shared" si="21"/>
        <v>OK</v>
      </c>
    </row>
    <row r="158" s="15" customFormat="1" hidden="1" spans="1:10">
      <c r="A158" s="22" t="str">
        <f t="shared" si="19"/>
        <v>Y</v>
      </c>
      <c r="F158" s="17"/>
      <c r="G158" s="239"/>
      <c r="H158" s="147" t="s">
        <v>183</v>
      </c>
      <c r="I158" s="277">
        <f t="shared" si="20"/>
        <v>1</v>
      </c>
      <c r="J158" s="198" t="str">
        <f t="shared" si="21"/>
        <v>OK</v>
      </c>
    </row>
    <row r="159" s="15" customFormat="1" hidden="1" spans="1:10">
      <c r="A159" s="22" t="str">
        <f t="shared" si="19"/>
        <v>N</v>
      </c>
      <c r="F159" s="17"/>
      <c r="G159" s="239"/>
      <c r="H159" s="147" t="s">
        <v>184</v>
      </c>
      <c r="I159" s="277">
        <f t="shared" si="20"/>
        <v>0</v>
      </c>
      <c r="J159" s="198" t="str">
        <f t="shared" si="21"/>
        <v>OK</v>
      </c>
    </row>
    <row r="160" s="15" customFormat="1" hidden="1" spans="1:10">
      <c r="A160" s="22" t="str">
        <f t="shared" si="19"/>
        <v>N</v>
      </c>
      <c r="F160" s="17"/>
      <c r="G160" s="239"/>
      <c r="H160" s="147" t="s">
        <v>185</v>
      </c>
      <c r="I160" s="277">
        <f t="shared" si="20"/>
        <v>0</v>
      </c>
      <c r="J160" s="198" t="str">
        <f t="shared" si="21"/>
        <v>OK</v>
      </c>
    </row>
    <row r="161" s="15" customFormat="1" hidden="1" spans="1:10">
      <c r="A161" s="22" t="str">
        <f t="shared" si="19"/>
        <v>N</v>
      </c>
      <c r="F161" s="17"/>
      <c r="G161" s="239"/>
      <c r="H161" s="147" t="s">
        <v>186</v>
      </c>
      <c r="I161" s="277">
        <f t="shared" si="20"/>
        <v>0</v>
      </c>
      <c r="J161" s="198" t="str">
        <f t="shared" si="21"/>
        <v>OK</v>
      </c>
    </row>
    <row r="162" s="15" customFormat="1" hidden="1" spans="1:10">
      <c r="A162" s="22" t="str">
        <f t="shared" si="19"/>
        <v>N</v>
      </c>
      <c r="F162" s="17"/>
      <c r="G162" s="239"/>
      <c r="H162" s="147" t="s">
        <v>187</v>
      </c>
      <c r="I162" s="277">
        <f t="shared" si="20"/>
        <v>0</v>
      </c>
      <c r="J162" s="198" t="str">
        <f>IF(I162&gt;0,"OK","OK")</f>
        <v>OK</v>
      </c>
    </row>
    <row r="163" s="15" customFormat="1" hidden="1" spans="1:10">
      <c r="A163" s="22" t="str">
        <f t="shared" si="19"/>
        <v>Y</v>
      </c>
      <c r="F163" s="17"/>
      <c r="G163" s="239"/>
      <c r="H163" s="168" t="str">
        <f t="shared" ref="H163:H165" si="22">H83</f>
        <v>Breakfast</v>
      </c>
      <c r="I163" s="277">
        <f t="shared" si="20"/>
        <v>1</v>
      </c>
      <c r="J163" s="198" t="str">
        <f t="shared" ref="J163:J165" si="23">IF(G163+I163&gt;0,IF(G163=I163,"Error-Choose only VM or Physical","OK"),"OK")</f>
        <v>OK</v>
      </c>
    </row>
    <row r="164" s="15" customFormat="1" hidden="1" spans="1:10">
      <c r="A164" s="22" t="str">
        <f t="shared" si="19"/>
        <v>N</v>
      </c>
      <c r="F164" s="17"/>
      <c r="G164" s="239"/>
      <c r="H164" s="168" t="str">
        <f t="shared" si="22"/>
        <v>Other Reduce Spec Server 2 (Please input the APPS Name)</v>
      </c>
      <c r="I164" s="277">
        <f t="shared" si="20"/>
        <v>0</v>
      </c>
      <c r="J164" s="198" t="str">
        <f t="shared" si="23"/>
        <v>OK</v>
      </c>
    </row>
    <row r="165" s="15" customFormat="1" hidden="1" spans="1:10">
      <c r="A165" s="22" t="str">
        <f t="shared" si="19"/>
        <v>N</v>
      </c>
      <c r="F165" s="17"/>
      <c r="G165" s="239"/>
      <c r="H165" s="168" t="str">
        <f t="shared" si="22"/>
        <v>Other Reduce Spec Server 3 (Please input the APPS Name)</v>
      </c>
      <c r="I165" s="277">
        <f t="shared" si="20"/>
        <v>0</v>
      </c>
      <c r="J165" s="198" t="str">
        <f t="shared" si="23"/>
        <v>OK</v>
      </c>
    </row>
    <row r="166" s="15" customFormat="1" hidden="1" spans="1:10">
      <c r="A166" s="22"/>
      <c r="F166" s="17"/>
      <c r="G166" s="239"/>
      <c r="H166" s="168"/>
      <c r="I166" s="278"/>
      <c r="J166" s="198" t="str">
        <f>IF(I166&lt;1,"OK")</f>
        <v>OK</v>
      </c>
    </row>
    <row r="167" s="15" customFormat="1" ht="15.75" hidden="1" spans="1:10">
      <c r="A167" s="22" t="str">
        <f>IF(ISBLANK(I167)=TRUE,"Y",IF(I167=0,"N","Y"))</f>
        <v>Y</v>
      </c>
      <c r="F167" s="17"/>
      <c r="G167" s="240"/>
      <c r="H167" s="241" t="s">
        <v>136</v>
      </c>
      <c r="I167" s="279">
        <f>I149+I150+I151+I153+I155+I156+I157+I158+I159+I160+I161+I162+I163+I164+I165+I152+I154</f>
        <v>3</v>
      </c>
      <c r="J167" s="280"/>
    </row>
    <row r="168" s="14" customFormat="1" ht="15.75" spans="1:10">
      <c r="A168" s="242"/>
      <c r="B168" s="15">
        <v>359</v>
      </c>
      <c r="C168" s="15"/>
      <c r="D168" s="15"/>
      <c r="E168" s="15"/>
      <c r="F168" s="17" t="str">
        <f>IF(G168="","",LEFT(H168,75))</f>
        <v/>
      </c>
      <c r="G168" s="243"/>
      <c r="H168" s="244"/>
      <c r="I168" s="244"/>
      <c r="J168" s="281"/>
    </row>
    <row r="169" s="14" customFormat="1" ht="15.75" spans="1:10">
      <c r="A169" s="29" t="str">
        <f>IF(A170="Y","Y","N")</f>
        <v>Y</v>
      </c>
      <c r="B169" s="15">
        <v>361</v>
      </c>
      <c r="C169" s="15"/>
      <c r="D169" s="15"/>
      <c r="E169" s="15"/>
      <c r="F169" s="17"/>
      <c r="G169" s="64" t="s">
        <v>17</v>
      </c>
      <c r="H169" s="245" t="s">
        <v>188</v>
      </c>
      <c r="I169" s="132" t="s">
        <v>19</v>
      </c>
      <c r="J169" s="133" t="s">
        <v>20</v>
      </c>
    </row>
    <row r="170" s="14" customFormat="1" ht="238.5" customHeight="1" spans="1:10">
      <c r="A170" s="29" t="str">
        <f t="shared" ref="A170:A184" si="24">IF(ISBLANK(J170)=TRUE,"Y",IF(J170=0,"N","Y"))</f>
        <v>Y</v>
      </c>
      <c r="B170" s="15">
        <v>235</v>
      </c>
      <c r="C170" s="15" t="s">
        <v>21</v>
      </c>
      <c r="D170" s="15" t="s">
        <v>22</v>
      </c>
      <c r="E170" s="15" t="s">
        <v>23</v>
      </c>
      <c r="F170" s="17" t="str">
        <f>IF(G170="","",LEFT(H170,75))</f>
        <v>HPE ProLiant DL20 Gen10 Performance -  Xeon E-2224 3.4 GHz - 16 GB
Default</v>
      </c>
      <c r="G170" s="246" t="s">
        <v>24</v>
      </c>
      <c r="H170" s="247" t="s">
        <v>25</v>
      </c>
      <c r="I170" s="119" t="s">
        <v>189</v>
      </c>
      <c r="J170" s="282">
        <f>I149+I150+I151+I153+I155+I156+I157+I158+I159+I160+I161+I162+I163+I164+I165</f>
        <v>3</v>
      </c>
    </row>
    <row r="171" s="14" customFormat="1" hidden="1" spans="1:10">
      <c r="A171" s="29" t="str">
        <f t="shared" si="24"/>
        <v>N</v>
      </c>
      <c r="B171" s="15"/>
      <c r="C171" s="15"/>
      <c r="D171" s="15"/>
      <c r="E171" s="15"/>
      <c r="F171" s="17"/>
      <c r="G171" s="248" t="s">
        <v>27</v>
      </c>
      <c r="H171" s="249" t="s">
        <v>190</v>
      </c>
      <c r="I171" s="283" t="s">
        <v>191</v>
      </c>
      <c r="J171" s="206">
        <f>IF(I162&gt;0,1,0)</f>
        <v>0</v>
      </c>
    </row>
    <row r="172" s="14" customFormat="1" ht="45" spans="1:10">
      <c r="A172" s="29" t="str">
        <f t="shared" si="24"/>
        <v>Y</v>
      </c>
      <c r="B172" s="15"/>
      <c r="C172" s="15"/>
      <c r="D172" s="15"/>
      <c r="E172" s="15"/>
      <c r="F172" s="17"/>
      <c r="G172" s="248" t="s">
        <v>30</v>
      </c>
      <c r="H172" s="249" t="s">
        <v>31</v>
      </c>
      <c r="I172" s="122" t="s">
        <v>192</v>
      </c>
      <c r="J172" s="284">
        <f>J170*2</f>
        <v>6</v>
      </c>
    </row>
    <row r="173" s="14" customFormat="1" spans="1:10">
      <c r="A173" s="29" t="str">
        <f t="shared" si="24"/>
        <v>Y</v>
      </c>
      <c r="B173" s="15"/>
      <c r="C173" s="15"/>
      <c r="D173" s="15"/>
      <c r="E173" s="15"/>
      <c r="F173" s="17"/>
      <c r="G173" s="250" t="s">
        <v>38</v>
      </c>
      <c r="H173" s="251" t="s">
        <v>39</v>
      </c>
      <c r="I173" s="285" t="s">
        <v>193</v>
      </c>
      <c r="J173" s="286">
        <v>1</v>
      </c>
    </row>
    <row r="174" s="14" customFormat="1" ht="30" spans="1:10">
      <c r="A174" s="29" t="str">
        <f t="shared" si="24"/>
        <v>Y</v>
      </c>
      <c r="B174" s="15"/>
      <c r="C174" s="15"/>
      <c r="D174" s="15"/>
      <c r="E174" s="15"/>
      <c r="F174" s="17"/>
      <c r="G174" s="250" t="s">
        <v>40</v>
      </c>
      <c r="H174" s="249" t="s">
        <v>194</v>
      </c>
      <c r="I174" s="216"/>
      <c r="J174" s="206">
        <f>J170</f>
        <v>3</v>
      </c>
    </row>
    <row r="175" s="14" customFormat="1" spans="1:10">
      <c r="A175" s="29" t="str">
        <f t="shared" si="24"/>
        <v>Y</v>
      </c>
      <c r="B175" s="15"/>
      <c r="C175" s="15"/>
      <c r="D175" s="15"/>
      <c r="E175" s="15"/>
      <c r="F175" s="17"/>
      <c r="G175" s="250" t="s">
        <v>42</v>
      </c>
      <c r="H175" s="251" t="s">
        <v>43</v>
      </c>
      <c r="I175" s="216"/>
      <c r="J175" s="206">
        <f>J170</f>
        <v>3</v>
      </c>
    </row>
    <row r="176" s="14" customFormat="1" spans="1:10">
      <c r="A176" s="29" t="str">
        <f t="shared" si="24"/>
        <v>Y</v>
      </c>
      <c r="B176" s="15"/>
      <c r="C176" s="15"/>
      <c r="D176" s="15"/>
      <c r="E176" s="15"/>
      <c r="F176" s="17"/>
      <c r="G176" s="53" t="s">
        <v>47</v>
      </c>
      <c r="H176" s="54" t="s">
        <v>48</v>
      </c>
      <c r="I176" s="47"/>
      <c r="J176" s="206">
        <f>J170*1</f>
        <v>3</v>
      </c>
    </row>
    <row r="177" s="14" customFormat="1" spans="1:10">
      <c r="A177" s="29" t="str">
        <f t="shared" si="24"/>
        <v>Y</v>
      </c>
      <c r="B177" s="15"/>
      <c r="C177" s="15"/>
      <c r="D177" s="15"/>
      <c r="E177" s="15"/>
      <c r="F177" s="17"/>
      <c r="G177" s="53" t="s">
        <v>49</v>
      </c>
      <c r="H177" s="54" t="s">
        <v>50</v>
      </c>
      <c r="I177" s="47"/>
      <c r="J177" s="206">
        <f>J170*1</f>
        <v>3</v>
      </c>
    </row>
    <row r="178" s="14" customFormat="1" spans="1:10">
      <c r="A178" s="29" t="str">
        <f t="shared" si="24"/>
        <v>Y</v>
      </c>
      <c r="B178" s="15"/>
      <c r="C178" s="15"/>
      <c r="D178" s="15"/>
      <c r="E178" s="15"/>
      <c r="F178" s="17"/>
      <c r="G178" s="53" t="s">
        <v>44</v>
      </c>
      <c r="H178" s="54" t="s">
        <v>195</v>
      </c>
      <c r="I178" s="47"/>
      <c r="J178" s="206">
        <f>1*J170</f>
        <v>3</v>
      </c>
    </row>
    <row r="179" s="14" customFormat="1" spans="1:10">
      <c r="A179" s="29" t="str">
        <f t="shared" si="24"/>
        <v>Y</v>
      </c>
      <c r="B179" s="15">
        <v>10</v>
      </c>
      <c r="C179" s="15" t="s">
        <v>21</v>
      </c>
      <c r="D179" s="15" t="s">
        <v>22</v>
      </c>
      <c r="E179" s="15" t="s">
        <v>23</v>
      </c>
      <c r="F179" s="17" t="str">
        <f t="shared" ref="F179:F184" si="25">IF(G179="","",LEFT(H179,75))</f>
        <v>HPE Gen10 TPM 1.2 FIO Setting</v>
      </c>
      <c r="G179" s="252" t="s">
        <v>196</v>
      </c>
      <c r="H179" s="253" t="s">
        <v>197</v>
      </c>
      <c r="I179" s="216"/>
      <c r="J179" s="206">
        <f>J170*1</f>
        <v>3</v>
      </c>
    </row>
    <row r="180" s="14" customFormat="1" spans="1:10">
      <c r="A180" s="29" t="str">
        <f t="shared" si="24"/>
        <v>Y</v>
      </c>
      <c r="B180" s="15"/>
      <c r="C180" s="15"/>
      <c r="D180" s="15"/>
      <c r="E180" s="15"/>
      <c r="F180" s="17"/>
      <c r="G180" s="248" t="s">
        <v>51</v>
      </c>
      <c r="H180" s="249" t="s">
        <v>198</v>
      </c>
      <c r="I180" s="287"/>
      <c r="J180" s="206">
        <f>2*J170</f>
        <v>6</v>
      </c>
    </row>
    <row r="181" s="14" customFormat="1" spans="1:10">
      <c r="A181" s="29" t="str">
        <f t="shared" si="24"/>
        <v>Y</v>
      </c>
      <c r="B181" s="15"/>
      <c r="C181" s="15"/>
      <c r="D181" s="15"/>
      <c r="E181" s="16"/>
      <c r="F181" s="17"/>
      <c r="G181" s="252" t="s">
        <v>54</v>
      </c>
      <c r="H181" s="254" t="s">
        <v>55</v>
      </c>
      <c r="I181" s="288"/>
      <c r="J181" s="206">
        <f>1*J170</f>
        <v>3</v>
      </c>
    </row>
    <row r="182" s="14" customFormat="1" hidden="1" spans="1:10">
      <c r="A182" s="29" t="str">
        <f t="shared" si="24"/>
        <v>N</v>
      </c>
      <c r="B182" s="15"/>
      <c r="C182" s="15"/>
      <c r="D182" s="15"/>
      <c r="E182" s="16"/>
      <c r="F182" s="17"/>
      <c r="G182" s="255" t="s">
        <v>57</v>
      </c>
      <c r="H182" s="256" t="s">
        <v>199</v>
      </c>
      <c r="I182" s="289" t="s">
        <v>200</v>
      </c>
      <c r="J182" s="290">
        <v>0</v>
      </c>
    </row>
    <row r="183" s="14" customFormat="1" hidden="1" spans="1:10">
      <c r="A183" s="29" t="str">
        <f t="shared" si="24"/>
        <v>N</v>
      </c>
      <c r="B183" s="15">
        <v>366</v>
      </c>
      <c r="C183" s="15" t="s">
        <v>21</v>
      </c>
      <c r="D183" s="15" t="s">
        <v>201</v>
      </c>
      <c r="E183" s="15" t="s">
        <v>202</v>
      </c>
      <c r="F183" s="17" t="str">
        <f t="shared" si="25"/>
        <v>HPE iLO Advanced Electronic License with 3yr Support on iLO Licensed Featur</v>
      </c>
      <c r="G183" s="255" t="s">
        <v>59</v>
      </c>
      <c r="H183" s="256" t="s">
        <v>60</v>
      </c>
      <c r="I183" s="289" t="s">
        <v>203</v>
      </c>
      <c r="J183" s="290">
        <v>0</v>
      </c>
    </row>
    <row r="184" s="14" customFormat="1" ht="45.75" spans="1:10">
      <c r="A184" s="29" t="str">
        <f t="shared" si="24"/>
        <v>Y</v>
      </c>
      <c r="B184" s="15">
        <v>369</v>
      </c>
      <c r="C184" s="15"/>
      <c r="D184" s="15"/>
      <c r="E184" s="15"/>
      <c r="F184" s="17" t="str">
        <f t="shared" si="25"/>
        <v>HPE 5 Year Foundation Care 24x7 DL20 Gen10 Service </v>
      </c>
      <c r="G184" s="60" t="s">
        <v>61</v>
      </c>
      <c r="H184" s="61" t="s">
        <v>62</v>
      </c>
      <c r="I184" s="291" t="s">
        <v>63</v>
      </c>
      <c r="J184" s="261">
        <f>1*J170</f>
        <v>3</v>
      </c>
    </row>
    <row r="185" s="14" customFormat="1" ht="15.75" spans="1:10">
      <c r="A185" s="29" t="e">
        <f>IF(ISBLANK(#REF!)=TRUE,"Y",IF(#REF!=0,"N","Y"))</f>
        <v>#REF!</v>
      </c>
      <c r="B185" s="15"/>
      <c r="C185" s="15"/>
      <c r="D185" s="15"/>
      <c r="E185" s="15"/>
      <c r="F185" s="17"/>
      <c r="G185" s="257"/>
      <c r="H185" s="258"/>
      <c r="I185" s="292"/>
      <c r="J185" s="293" t="s">
        <v>204</v>
      </c>
    </row>
    <row r="186" s="14" customFormat="1" ht="15.75" hidden="1" spans="1:10">
      <c r="A186" s="29"/>
      <c r="B186" s="15"/>
      <c r="C186" s="15"/>
      <c r="D186" s="15"/>
      <c r="E186" s="15"/>
      <c r="F186" s="17"/>
      <c r="G186" s="259"/>
      <c r="H186" s="258"/>
      <c r="I186" s="292"/>
      <c r="J186" s="294"/>
    </row>
    <row r="187" s="14" customFormat="1" ht="15.75" spans="1:10">
      <c r="A187" s="29" t="str">
        <f>IF(A188="Y","Y","N")</f>
        <v>Y</v>
      </c>
      <c r="B187" s="15">
        <v>371</v>
      </c>
      <c r="C187" s="15"/>
      <c r="D187" s="15"/>
      <c r="E187" s="15"/>
      <c r="F187" s="17" t="str">
        <f t="shared" ref="F187:F190" si="26">IF(G187="","",LEFT(H187,75))</f>
        <v>SOFTWARE</v>
      </c>
      <c r="G187" s="64" t="s">
        <v>17</v>
      </c>
      <c r="H187" s="65" t="s">
        <v>65</v>
      </c>
      <c r="I187" s="132" t="s">
        <v>95</v>
      </c>
      <c r="J187" s="133" t="s">
        <v>20</v>
      </c>
    </row>
    <row r="188" s="14" customFormat="1" ht="45" spans="1:10">
      <c r="A188" s="29" t="str">
        <f t="shared" ref="A188:A197" si="27">IF(ISBLANK(J188)=TRUE,"Y",IF(J188=0,"N","Y"))</f>
        <v>Y</v>
      </c>
      <c r="B188" s="15">
        <v>372</v>
      </c>
      <c r="C188" s="16" t="s">
        <v>21</v>
      </c>
      <c r="D188" s="16" t="s">
        <v>205</v>
      </c>
      <c r="E188" s="16" t="s">
        <v>206</v>
      </c>
      <c r="F188" s="17" t="str">
        <f t="shared" si="26"/>
        <v/>
      </c>
      <c r="G188" s="178"/>
      <c r="H188" s="179" t="s">
        <v>104</v>
      </c>
      <c r="I188" s="211" t="s">
        <v>68</v>
      </c>
      <c r="J188" s="212">
        <f>J170*1</f>
        <v>3</v>
      </c>
    </row>
    <row r="189" s="14" customFormat="1" ht="15.75" hidden="1" spans="1:10">
      <c r="A189" s="29" t="str">
        <f t="shared" si="27"/>
        <v>Y</v>
      </c>
      <c r="B189" s="15">
        <v>379</v>
      </c>
      <c r="C189" s="15"/>
      <c r="D189" s="15"/>
      <c r="E189" s="15"/>
      <c r="F189" s="17" t="str">
        <f t="shared" si="26"/>
        <v>SAMSOTECH PASSPORT SCANNER RELATED</v>
      </c>
      <c r="G189" s="64" t="s">
        <v>17</v>
      </c>
      <c r="H189" s="65" t="s">
        <v>157</v>
      </c>
      <c r="I189" s="132" t="s">
        <v>19</v>
      </c>
      <c r="J189" s="133" t="s">
        <v>20</v>
      </c>
    </row>
    <row r="190" s="14" customFormat="1" ht="75" hidden="1" spans="1:10">
      <c r="A190" s="29" t="str">
        <f t="shared" si="27"/>
        <v>N</v>
      </c>
      <c r="B190" s="15">
        <v>380</v>
      </c>
      <c r="C190" s="15" t="s">
        <v>21</v>
      </c>
      <c r="D190" s="15" t="s">
        <v>205</v>
      </c>
      <c r="E190" s="15" t="s">
        <v>207</v>
      </c>
      <c r="F190" s="17" t="str">
        <f t="shared" si="26"/>
        <v>Microsoft SQL Server 2019 Standard - license - 1 license</v>
      </c>
      <c r="G190" s="181" t="s">
        <v>148</v>
      </c>
      <c r="H190" s="179" t="s">
        <v>149</v>
      </c>
      <c r="I190" s="211" t="s">
        <v>208</v>
      </c>
      <c r="J190" s="212">
        <f>IF(I159&gt;0,1,0)</f>
        <v>0</v>
      </c>
    </row>
    <row r="191" s="14" customFormat="1" ht="45.75" hidden="1" spans="1:10">
      <c r="A191" s="29" t="str">
        <f t="shared" si="27"/>
        <v>N</v>
      </c>
      <c r="B191" s="15"/>
      <c r="C191" s="15"/>
      <c r="D191" s="15"/>
      <c r="E191" s="15"/>
      <c r="F191" s="17"/>
      <c r="G191" s="182" t="s">
        <v>151</v>
      </c>
      <c r="H191" s="183" t="s">
        <v>152</v>
      </c>
      <c r="I191" s="121" t="s">
        <v>209</v>
      </c>
      <c r="J191" s="208">
        <f>J190*5</f>
        <v>0</v>
      </c>
    </row>
    <row r="192" s="14" customFormat="1" ht="15.75" hidden="1" spans="1:10">
      <c r="A192" s="29" t="str">
        <f t="shared" si="27"/>
        <v>Y</v>
      </c>
      <c r="B192" s="15"/>
      <c r="C192" s="15"/>
      <c r="D192" s="15"/>
      <c r="E192" s="15"/>
      <c r="F192" s="17"/>
      <c r="G192" s="64" t="s">
        <v>17</v>
      </c>
      <c r="H192" s="65" t="s">
        <v>210</v>
      </c>
      <c r="I192" s="132" t="s">
        <v>19</v>
      </c>
      <c r="J192" s="133" t="s">
        <v>20</v>
      </c>
    </row>
    <row r="193" s="14" customFormat="1" ht="75" hidden="1" spans="1:10">
      <c r="A193" s="29" t="str">
        <f t="shared" si="27"/>
        <v>N</v>
      </c>
      <c r="B193" s="15"/>
      <c r="C193" s="15"/>
      <c r="D193" s="15"/>
      <c r="E193" s="15"/>
      <c r="F193" s="17"/>
      <c r="G193" s="181" t="s">
        <v>148</v>
      </c>
      <c r="H193" s="179" t="s">
        <v>149</v>
      </c>
      <c r="I193" s="211" t="s">
        <v>211</v>
      </c>
      <c r="J193" s="212">
        <f>IF(I160&gt;0,1,0)</f>
        <v>0</v>
      </c>
    </row>
    <row r="194" s="14" customFormat="1" ht="45.75" hidden="1" spans="1:10">
      <c r="A194" s="29" t="str">
        <f t="shared" si="27"/>
        <v>N</v>
      </c>
      <c r="B194" s="15"/>
      <c r="C194" s="15"/>
      <c r="D194" s="15"/>
      <c r="E194" s="15"/>
      <c r="F194" s="17"/>
      <c r="G194" s="182" t="s">
        <v>151</v>
      </c>
      <c r="H194" s="183" t="s">
        <v>152</v>
      </c>
      <c r="I194" s="121" t="s">
        <v>212</v>
      </c>
      <c r="J194" s="208">
        <f>J193*5</f>
        <v>0</v>
      </c>
    </row>
    <row r="195" s="14" customFormat="1" ht="15.75" hidden="1" spans="1:10">
      <c r="A195" s="29" t="str">
        <f t="shared" si="27"/>
        <v>Y</v>
      </c>
      <c r="B195" s="15"/>
      <c r="C195" s="15"/>
      <c r="D195" s="15"/>
      <c r="E195" s="15"/>
      <c r="F195" s="17"/>
      <c r="G195" s="64" t="s">
        <v>17</v>
      </c>
      <c r="H195" s="65" t="s">
        <v>213</v>
      </c>
      <c r="I195" s="132" t="s">
        <v>19</v>
      </c>
      <c r="J195" s="133" t="s">
        <v>20</v>
      </c>
    </row>
    <row r="196" s="14" customFormat="1" ht="75" hidden="1" spans="1:10">
      <c r="A196" s="29" t="str">
        <f t="shared" si="27"/>
        <v>N</v>
      </c>
      <c r="B196" s="15"/>
      <c r="C196" s="15"/>
      <c r="D196" s="15"/>
      <c r="E196" s="15"/>
      <c r="F196" s="17"/>
      <c r="G196" s="181" t="s">
        <v>148</v>
      </c>
      <c r="H196" s="179" t="s">
        <v>149</v>
      </c>
      <c r="I196" s="211" t="s">
        <v>211</v>
      </c>
      <c r="J196" s="212">
        <f>IF(I161&gt;0,1,0)</f>
        <v>0</v>
      </c>
    </row>
    <row r="197" s="14" customFormat="1" ht="45" hidden="1" spans="1:10">
      <c r="A197" s="29" t="str">
        <f t="shared" si="27"/>
        <v>N</v>
      </c>
      <c r="B197" s="15"/>
      <c r="C197" s="15"/>
      <c r="D197" s="15"/>
      <c r="E197" s="15"/>
      <c r="F197" s="17"/>
      <c r="G197" s="295" t="s">
        <v>151</v>
      </c>
      <c r="H197" s="296" t="s">
        <v>152</v>
      </c>
      <c r="I197" s="216" t="s">
        <v>212</v>
      </c>
      <c r="J197" s="208">
        <f>J196*5</f>
        <v>0</v>
      </c>
    </row>
    <row r="198" s="14" customFormat="1" ht="15.75" spans="1:10">
      <c r="A198" s="29" t="e">
        <f>IF(ISBLANK(#REF!)=TRUE,"Y",IF(#REF!=0,"N","Y"))</f>
        <v>#REF!</v>
      </c>
      <c r="B198" s="15">
        <v>384</v>
      </c>
      <c r="C198" s="16" t="s">
        <v>21</v>
      </c>
      <c r="D198" s="16" t="s">
        <v>205</v>
      </c>
      <c r="E198" s="16" t="s">
        <v>207</v>
      </c>
      <c r="F198" s="17" t="str">
        <f>IF(G198="","",LEFT(H198,75))</f>
        <v/>
      </c>
      <c r="G198" s="189"/>
      <c r="H198" s="190"/>
      <c r="I198" s="219" t="s">
        <v>214</v>
      </c>
      <c r="J198" s="220"/>
    </row>
    <row r="199" s="14" customFormat="1" ht="15.75" spans="1:10">
      <c r="A199" s="29"/>
      <c r="B199" s="15"/>
      <c r="C199" s="15"/>
      <c r="D199" s="15"/>
      <c r="E199" s="15"/>
      <c r="F199" s="17"/>
      <c r="G199" s="297"/>
      <c r="H199" s="298"/>
      <c r="I199" s="340"/>
      <c r="J199" s="341"/>
    </row>
    <row r="200" s="14" customFormat="1" ht="20.85" spans="1:10">
      <c r="A200" s="29" t="str">
        <f>IF(A202="Y","Y","N")</f>
        <v>Y</v>
      </c>
      <c r="B200" s="15"/>
      <c r="C200" s="15"/>
      <c r="D200" s="15"/>
      <c r="E200" s="15"/>
      <c r="F200" s="17"/>
      <c r="G200" s="193" t="s">
        <v>215</v>
      </c>
      <c r="H200" s="299"/>
      <c r="I200" s="223"/>
      <c r="J200" s="194"/>
    </row>
    <row r="201" s="14" customFormat="1" ht="195.75" hidden="1" customHeight="1" spans="1:10">
      <c r="A201" s="29" t="str">
        <f>IF(A203="Y","Y","N")</f>
        <v>Y</v>
      </c>
      <c r="B201" s="15"/>
      <c r="C201" s="15"/>
      <c r="D201" s="15"/>
      <c r="E201" s="15"/>
      <c r="F201" s="17"/>
      <c r="G201" s="300" t="s">
        <v>216</v>
      </c>
      <c r="H201" s="301"/>
      <c r="I201" s="342"/>
      <c r="J201" s="343"/>
    </row>
    <row r="202" s="14" customFormat="1" ht="15.75" spans="1:10">
      <c r="A202" s="29" t="str">
        <f>IF(A203="Y","Y","N")</f>
        <v>Y</v>
      </c>
      <c r="B202" s="15"/>
      <c r="C202" s="15"/>
      <c r="D202" s="15"/>
      <c r="E202" s="15"/>
      <c r="F202" s="17"/>
      <c r="G202" s="64" t="s">
        <v>17</v>
      </c>
      <c r="H202" s="65" t="s">
        <v>217</v>
      </c>
      <c r="I202" s="132" t="s">
        <v>19</v>
      </c>
      <c r="J202" s="133" t="s">
        <v>20</v>
      </c>
    </row>
    <row r="203" s="14" customFormat="1" ht="239.25" customHeight="1" spans="1:10">
      <c r="A203" s="29" t="str">
        <f t="shared" ref="A203:A216" si="28">IF(ISBLANK(J203)=TRUE,"Y",IF(J203=0,"N","Y"))</f>
        <v>Y</v>
      </c>
      <c r="B203" s="15"/>
      <c r="C203" s="15"/>
      <c r="D203" s="15"/>
      <c r="E203" s="15"/>
      <c r="F203" s="17"/>
      <c r="G203" s="302" t="s">
        <v>218</v>
      </c>
      <c r="H203" s="303" t="s">
        <v>219</v>
      </c>
      <c r="I203" s="142" t="s">
        <v>26</v>
      </c>
      <c r="J203" s="344">
        <v>1</v>
      </c>
    </row>
    <row r="204" s="14" customFormat="1" spans="1:10">
      <c r="A204" s="29" t="str">
        <f t="shared" si="28"/>
        <v>Y</v>
      </c>
      <c r="B204" s="15"/>
      <c r="C204" s="15"/>
      <c r="D204" s="15"/>
      <c r="E204" s="15"/>
      <c r="F204" s="17"/>
      <c r="G204" s="304" t="s">
        <v>30</v>
      </c>
      <c r="H204" s="87" t="s">
        <v>31</v>
      </c>
      <c r="I204" s="122" t="s">
        <v>220</v>
      </c>
      <c r="J204" s="345">
        <v>2</v>
      </c>
    </row>
    <row r="205" s="14" customFormat="1" spans="1:10">
      <c r="A205" s="29" t="str">
        <f t="shared" si="28"/>
        <v>Y</v>
      </c>
      <c r="B205" s="15"/>
      <c r="C205" s="15"/>
      <c r="D205" s="15"/>
      <c r="E205" s="15"/>
      <c r="F205" s="17"/>
      <c r="G205" s="304" t="s">
        <v>141</v>
      </c>
      <c r="H205" s="87" t="s">
        <v>142</v>
      </c>
      <c r="I205" s="122" t="s">
        <v>221</v>
      </c>
      <c r="J205" s="345">
        <v>6</v>
      </c>
    </row>
    <row r="206" s="14" customFormat="1" spans="1:10">
      <c r="A206" s="29" t="str">
        <f t="shared" si="28"/>
        <v>Y</v>
      </c>
      <c r="B206" s="15"/>
      <c r="C206" s="15"/>
      <c r="D206" s="15"/>
      <c r="E206" s="15"/>
      <c r="F206" s="17"/>
      <c r="G206" s="185" t="s">
        <v>222</v>
      </c>
      <c r="H206" s="87" t="s">
        <v>223</v>
      </c>
      <c r="I206" s="216"/>
      <c r="J206" s="345">
        <f>J203</f>
        <v>1</v>
      </c>
    </row>
    <row r="207" s="14" customFormat="1" spans="1:10">
      <c r="A207" s="29" t="str">
        <f t="shared" si="28"/>
        <v>Y</v>
      </c>
      <c r="B207" s="15"/>
      <c r="C207" s="15"/>
      <c r="D207" s="15"/>
      <c r="E207" s="15"/>
      <c r="F207" s="17"/>
      <c r="G207" s="58" t="s">
        <v>224</v>
      </c>
      <c r="H207" s="305" t="s">
        <v>225</v>
      </c>
      <c r="I207" s="124"/>
      <c r="J207" s="345">
        <f>J203</f>
        <v>1</v>
      </c>
    </row>
    <row r="208" s="14" customFormat="1" spans="1:10">
      <c r="A208" s="29" t="str">
        <f t="shared" si="28"/>
        <v>Y</v>
      </c>
      <c r="B208" s="15"/>
      <c r="C208" s="15"/>
      <c r="D208" s="15"/>
      <c r="E208" s="15"/>
      <c r="F208" s="17"/>
      <c r="G208" s="58" t="s">
        <v>226</v>
      </c>
      <c r="H208" s="305" t="s">
        <v>227</v>
      </c>
      <c r="I208" s="124"/>
      <c r="J208" s="345">
        <f>J203</f>
        <v>1</v>
      </c>
    </row>
    <row r="209" s="14" customFormat="1" spans="1:10">
      <c r="A209" s="29" t="str">
        <f t="shared" si="28"/>
        <v>Y</v>
      </c>
      <c r="B209" s="15"/>
      <c r="C209" s="15"/>
      <c r="D209" s="15"/>
      <c r="E209" s="15"/>
      <c r="F209" s="17"/>
      <c r="G209" s="58" t="s">
        <v>228</v>
      </c>
      <c r="H209" s="305" t="s">
        <v>229</v>
      </c>
      <c r="I209" s="124"/>
      <c r="J209" s="345">
        <f>J203*2</f>
        <v>2</v>
      </c>
    </row>
    <row r="210" s="14" customFormat="1" ht="18" customHeight="1" spans="1:10">
      <c r="A210" s="29" t="str">
        <f t="shared" si="28"/>
        <v>Y</v>
      </c>
      <c r="B210" s="15"/>
      <c r="C210" s="15"/>
      <c r="D210" s="15"/>
      <c r="E210" s="15"/>
      <c r="F210" s="17"/>
      <c r="G210" s="58" t="s">
        <v>230</v>
      </c>
      <c r="H210" s="306" t="s">
        <v>231</v>
      </c>
      <c r="I210" s="124"/>
      <c r="J210" s="345">
        <f>J203</f>
        <v>1</v>
      </c>
    </row>
    <row r="211" s="14" customFormat="1" spans="1:10">
      <c r="A211" s="29" t="str">
        <f t="shared" si="28"/>
        <v>Y</v>
      </c>
      <c r="B211" s="15"/>
      <c r="C211" s="15"/>
      <c r="D211" s="15"/>
      <c r="E211" s="15"/>
      <c r="F211" s="17"/>
      <c r="G211" s="307" t="s">
        <v>54</v>
      </c>
      <c r="H211" s="75" t="s">
        <v>55</v>
      </c>
      <c r="I211" s="346"/>
      <c r="J211" s="345">
        <f>J203</f>
        <v>1</v>
      </c>
    </row>
    <row r="212" s="14" customFormat="1" ht="30" spans="1:10">
      <c r="A212" s="29" t="str">
        <f t="shared" si="28"/>
        <v>Y</v>
      </c>
      <c r="B212" s="15"/>
      <c r="C212" s="15"/>
      <c r="D212" s="15"/>
      <c r="E212" s="15"/>
      <c r="F212" s="17"/>
      <c r="G212" s="308" t="s">
        <v>232</v>
      </c>
      <c r="H212" s="75" t="s">
        <v>41</v>
      </c>
      <c r="I212" s="347"/>
      <c r="J212" s="345">
        <f>J203</f>
        <v>1</v>
      </c>
    </row>
    <row r="213" s="14" customFormat="1" spans="1:10">
      <c r="A213" s="29" t="str">
        <f t="shared" si="28"/>
        <v>Y</v>
      </c>
      <c r="B213" s="15"/>
      <c r="C213" s="15"/>
      <c r="D213" s="15"/>
      <c r="E213" s="15"/>
      <c r="F213" s="17"/>
      <c r="G213" s="76" t="s">
        <v>44</v>
      </c>
      <c r="H213" s="47" t="s">
        <v>195</v>
      </c>
      <c r="I213" s="348"/>
      <c r="J213" s="349">
        <f>J203</f>
        <v>1</v>
      </c>
    </row>
    <row r="214" s="14" customFormat="1" spans="1:10">
      <c r="A214" s="29" t="str">
        <f t="shared" si="28"/>
        <v>Y</v>
      </c>
      <c r="B214" s="15"/>
      <c r="C214" s="15"/>
      <c r="D214" s="15"/>
      <c r="E214" s="15"/>
      <c r="F214" s="17"/>
      <c r="G214" s="76" t="s">
        <v>196</v>
      </c>
      <c r="H214" s="47" t="s">
        <v>197</v>
      </c>
      <c r="I214" s="348"/>
      <c r="J214" s="349">
        <v>1</v>
      </c>
    </row>
    <row r="215" s="14" customFormat="1" spans="1:10">
      <c r="A215" s="29" t="str">
        <f t="shared" si="28"/>
        <v>Y</v>
      </c>
      <c r="B215" s="15"/>
      <c r="C215" s="15"/>
      <c r="D215" s="15"/>
      <c r="E215" s="15"/>
      <c r="F215" s="17"/>
      <c r="G215" s="309" t="s">
        <v>51</v>
      </c>
      <c r="H215" s="52" t="s">
        <v>91</v>
      </c>
      <c r="I215" s="348"/>
      <c r="J215" s="349">
        <f>J203*2</f>
        <v>2</v>
      </c>
    </row>
    <row r="216" s="14" customFormat="1" ht="30" spans="1:10">
      <c r="A216" s="29" t="str">
        <f t="shared" si="28"/>
        <v>Y</v>
      </c>
      <c r="B216" s="15"/>
      <c r="C216" s="15"/>
      <c r="D216" s="15"/>
      <c r="E216" s="15"/>
      <c r="F216" s="17"/>
      <c r="G216" s="310" t="s">
        <v>233</v>
      </c>
      <c r="H216" s="311" t="s">
        <v>234</v>
      </c>
      <c r="I216" s="350" t="s">
        <v>235</v>
      </c>
      <c r="J216" s="351">
        <f>J203*1</f>
        <v>1</v>
      </c>
    </row>
    <row r="217" s="14" customFormat="1" ht="15.75" spans="1:10">
      <c r="A217" s="29" t="e">
        <f>IF(#REF!="Y","Y","N")</f>
        <v>#REF!</v>
      </c>
      <c r="B217" s="15"/>
      <c r="C217" s="15"/>
      <c r="D217" s="15"/>
      <c r="E217" s="15"/>
      <c r="F217" s="17"/>
      <c r="G217" s="312"/>
      <c r="H217" s="313"/>
      <c r="I217" s="352" t="s">
        <v>236</v>
      </c>
      <c r="J217" s="353"/>
    </row>
    <row r="218" s="14" customFormat="1" ht="15.75" spans="1:10">
      <c r="A218" s="29" t="str">
        <f t="shared" ref="A218:A221" si="29">IF(ISBLANK(J218)=TRUE,"Y",IF(J218=0,"N","Y"))</f>
        <v>Y</v>
      </c>
      <c r="B218" s="15"/>
      <c r="C218" s="15"/>
      <c r="D218" s="15"/>
      <c r="E218" s="15"/>
      <c r="F218" s="17"/>
      <c r="G218" s="64"/>
      <c r="H218" s="65" t="s">
        <v>65</v>
      </c>
      <c r="I218" s="132" t="s">
        <v>95</v>
      </c>
      <c r="J218" s="118" t="s">
        <v>20</v>
      </c>
    </row>
    <row r="219" s="14" customFormat="1" ht="45.75" spans="1:10">
      <c r="A219" s="29" t="str">
        <f t="shared" si="29"/>
        <v>Y</v>
      </c>
      <c r="B219" s="15"/>
      <c r="C219" s="15"/>
      <c r="D219" s="15"/>
      <c r="E219" s="15"/>
      <c r="F219" s="17"/>
      <c r="G219" s="229"/>
      <c r="H219" s="179" t="s">
        <v>104</v>
      </c>
      <c r="I219" s="264" t="s">
        <v>68</v>
      </c>
      <c r="J219" s="205">
        <f>(J203)*1</f>
        <v>1</v>
      </c>
    </row>
    <row r="220" s="14" customFormat="1" spans="1:10">
      <c r="A220" s="29" t="str">
        <f>IF(ISBLANK(J221)=TRUE,"Y",IF(J221=0,"N","Y"))</f>
        <v>Y</v>
      </c>
      <c r="B220" s="15"/>
      <c r="C220" s="15"/>
      <c r="D220" s="15"/>
      <c r="E220" s="15"/>
      <c r="F220" s="17"/>
      <c r="G220" s="314" t="s">
        <v>237</v>
      </c>
      <c r="H220" s="315"/>
      <c r="I220" s="354"/>
      <c r="J220" s="315"/>
    </row>
    <row r="221" s="14" customFormat="1" spans="1:10">
      <c r="A221" s="29" t="str">
        <f t="shared" si="29"/>
        <v>Y</v>
      </c>
      <c r="B221" s="15"/>
      <c r="C221" s="15"/>
      <c r="D221" s="15"/>
      <c r="E221" s="15"/>
      <c r="F221" s="17"/>
      <c r="G221" s="316" t="s">
        <v>238</v>
      </c>
      <c r="H221" s="317" t="s">
        <v>239</v>
      </c>
      <c r="I221" s="216"/>
      <c r="J221" s="206">
        <v>1</v>
      </c>
    </row>
    <row r="222" s="14" customFormat="1" ht="15.75" spans="1:10">
      <c r="A222" s="29"/>
      <c r="B222" s="15"/>
      <c r="C222" s="15"/>
      <c r="D222" s="15"/>
      <c r="E222" s="15"/>
      <c r="F222" s="17"/>
      <c r="G222" s="318"/>
      <c r="H222" s="319"/>
      <c r="I222" s="355"/>
      <c r="J222" s="356"/>
    </row>
    <row r="223" s="14" customFormat="1" ht="19.15" hidden="1" spans="1:10">
      <c r="A223" s="29"/>
      <c r="B223" s="15"/>
      <c r="C223" s="15"/>
      <c r="D223" s="15"/>
      <c r="E223" s="15"/>
      <c r="F223" s="17"/>
      <c r="G223" s="320" t="s">
        <v>240</v>
      </c>
      <c r="H223" s="321"/>
      <c r="I223" s="321"/>
      <c r="J223" s="357"/>
    </row>
    <row r="224" s="14" customFormat="1" spans="1:10">
      <c r="A224" s="29" t="str">
        <f>IF(ISBLANK(J225)=TRUE,"Y",IF(J225=0,"N","Y"))</f>
        <v>Y</v>
      </c>
      <c r="B224" s="15"/>
      <c r="C224" s="15"/>
      <c r="D224" s="15"/>
      <c r="E224" s="15"/>
      <c r="F224" s="17"/>
      <c r="G224" s="314" t="s">
        <v>241</v>
      </c>
      <c r="H224" s="315"/>
      <c r="I224" s="315"/>
      <c r="J224" s="315"/>
    </row>
    <row r="225" s="14" customFormat="1" ht="45" spans="1:10">
      <c r="A225" s="29" t="str">
        <f t="shared" ref="A225:A231" si="30">IF(ISBLANK(J225)=TRUE,"Y",IF(J225=0,"N","Y"))</f>
        <v>Y</v>
      </c>
      <c r="B225" s="15"/>
      <c r="C225" s="15"/>
      <c r="D225" s="15"/>
      <c r="E225" s="15"/>
      <c r="F225" s="17"/>
      <c r="G225" s="322" t="s">
        <v>242</v>
      </c>
      <c r="H225" s="87" t="s">
        <v>243</v>
      </c>
      <c r="I225" s="358" t="s">
        <v>244</v>
      </c>
      <c r="J225" s="206">
        <v>1</v>
      </c>
    </row>
    <row r="226" s="14" customFormat="1" ht="15.75" spans="1:10">
      <c r="A226" s="29"/>
      <c r="B226" s="15"/>
      <c r="C226" s="15"/>
      <c r="D226" s="15"/>
      <c r="E226" s="15"/>
      <c r="F226" s="17"/>
      <c r="G226" s="189"/>
      <c r="H226" s="190"/>
      <c r="I226" s="219"/>
      <c r="J226" s="220"/>
    </row>
    <row r="227" s="14" customFormat="1" hidden="1" spans="1:10">
      <c r="A227" s="29" t="str">
        <f t="shared" si="30"/>
        <v>Y</v>
      </c>
      <c r="B227" s="15"/>
      <c r="C227" s="15"/>
      <c r="D227" s="15"/>
      <c r="E227" s="15"/>
      <c r="F227" s="17"/>
      <c r="G227" s="314" t="s">
        <v>245</v>
      </c>
      <c r="H227" s="315"/>
      <c r="I227" s="354"/>
      <c r="J227" s="315"/>
    </row>
    <row r="228" s="14" customFormat="1" ht="60" hidden="1" spans="1:10">
      <c r="A228" s="29" t="str">
        <f t="shared" si="30"/>
        <v>N</v>
      </c>
      <c r="B228" s="15"/>
      <c r="C228" s="15"/>
      <c r="D228" s="15"/>
      <c r="E228" s="15"/>
      <c r="F228" s="17"/>
      <c r="G228" s="322" t="s">
        <v>246</v>
      </c>
      <c r="H228" s="87" t="s">
        <v>247</v>
      </c>
      <c r="I228" s="358" t="s">
        <v>248</v>
      </c>
      <c r="J228" s="206">
        <v>0</v>
      </c>
    </row>
    <row r="229" s="14" customFormat="1" ht="60" hidden="1" spans="1:10">
      <c r="A229" s="29" t="str">
        <f t="shared" si="30"/>
        <v>N</v>
      </c>
      <c r="B229" s="15"/>
      <c r="C229" s="15"/>
      <c r="D229" s="15"/>
      <c r="E229" s="15"/>
      <c r="F229" s="17"/>
      <c r="G229" s="185" t="s">
        <v>249</v>
      </c>
      <c r="H229" s="87" t="s">
        <v>250</v>
      </c>
      <c r="I229" s="359" t="s">
        <v>251</v>
      </c>
      <c r="J229" s="206">
        <v>0</v>
      </c>
    </row>
    <row r="230" s="14" customFormat="1" ht="60" hidden="1" spans="1:10">
      <c r="A230" s="29" t="str">
        <f t="shared" si="30"/>
        <v>N</v>
      </c>
      <c r="B230" s="15"/>
      <c r="C230" s="15"/>
      <c r="D230" s="15"/>
      <c r="E230" s="15"/>
      <c r="F230" s="17"/>
      <c r="G230" s="185" t="s">
        <v>252</v>
      </c>
      <c r="H230" s="147" t="s">
        <v>253</v>
      </c>
      <c r="I230" s="359" t="s">
        <v>254</v>
      </c>
      <c r="J230" s="206">
        <v>0</v>
      </c>
    </row>
    <row r="231" s="14" customFormat="1" ht="57" hidden="1" customHeight="1" spans="1:10">
      <c r="A231" s="29" t="str">
        <f t="shared" si="30"/>
        <v>N</v>
      </c>
      <c r="B231" s="15"/>
      <c r="C231" s="15"/>
      <c r="D231" s="15"/>
      <c r="E231" s="15"/>
      <c r="F231" s="17"/>
      <c r="G231" s="304" t="s">
        <v>255</v>
      </c>
      <c r="H231" s="323" t="s">
        <v>256</v>
      </c>
      <c r="I231" s="359" t="s">
        <v>257</v>
      </c>
      <c r="J231" s="206">
        <v>0</v>
      </c>
    </row>
    <row r="232" s="14" customFormat="1" hidden="1" spans="1:10">
      <c r="A232" s="29"/>
      <c r="B232" s="15">
        <v>504</v>
      </c>
      <c r="C232" s="16" t="s">
        <v>175</v>
      </c>
      <c r="D232" s="15" t="s">
        <v>22</v>
      </c>
      <c r="E232" s="16" t="s">
        <v>258</v>
      </c>
      <c r="F232" s="17" t="str">
        <f>IF(G232="","",LEFT(H232,75))</f>
        <v/>
      </c>
      <c r="G232" s="230"/>
      <c r="H232" s="87"/>
      <c r="I232" s="360" t="s">
        <v>69</v>
      </c>
      <c r="J232" s="360"/>
    </row>
    <row r="233" s="14" customFormat="1" spans="1:10">
      <c r="A233" s="29" t="str">
        <f>IF(A235="Y","Y","N")</f>
        <v>Y</v>
      </c>
      <c r="B233" s="15"/>
      <c r="C233" s="16"/>
      <c r="D233" s="16"/>
      <c r="E233" s="16"/>
      <c r="F233" s="17"/>
      <c r="G233" s="324" t="s">
        <v>259</v>
      </c>
      <c r="H233" s="325"/>
      <c r="I233" s="361"/>
      <c r="J233" s="325"/>
    </row>
    <row r="234" s="14" customFormat="1" spans="1:10">
      <c r="A234" s="29" t="str">
        <f>IF(A235="Y","Y","N")</f>
        <v>Y</v>
      </c>
      <c r="B234" s="15"/>
      <c r="C234" s="16"/>
      <c r="D234" s="16"/>
      <c r="E234" s="16"/>
      <c r="F234" s="17"/>
      <c r="G234" s="326"/>
      <c r="H234" s="327" t="s">
        <v>260</v>
      </c>
      <c r="I234" s="362" t="s">
        <v>11</v>
      </c>
      <c r="J234" s="206"/>
    </row>
    <row r="235" s="14" customFormat="1" ht="30" spans="1:10">
      <c r="A235" s="29" t="str">
        <f t="shared" ref="A235:A240" si="31">IF(ISBLANK(J235)=TRUE,"Y",IF(J235=0,"N","Y"))</f>
        <v>Y</v>
      </c>
      <c r="B235" s="15"/>
      <c r="C235" s="16"/>
      <c r="D235" s="16"/>
      <c r="E235" s="16"/>
      <c r="F235" s="17"/>
      <c r="G235" s="44" t="s">
        <v>261</v>
      </c>
      <c r="H235" s="147" t="s">
        <v>262</v>
      </c>
      <c r="I235" s="363"/>
      <c r="J235" s="266">
        <v>1</v>
      </c>
    </row>
    <row r="236" s="14" customFormat="1" spans="1:10">
      <c r="A236" s="29" t="str">
        <f t="shared" si="31"/>
        <v>Y</v>
      </c>
      <c r="B236" s="15"/>
      <c r="C236" s="16"/>
      <c r="D236" s="16"/>
      <c r="E236" s="16"/>
      <c r="F236" s="17"/>
      <c r="G236" s="185" t="s">
        <v>263</v>
      </c>
      <c r="H236" s="87" t="s">
        <v>264</v>
      </c>
      <c r="I236" s="362" t="s">
        <v>265</v>
      </c>
      <c r="J236" s="206">
        <f>J235</f>
        <v>1</v>
      </c>
    </row>
    <row r="237" s="14" customFormat="1" ht="45" spans="1:10">
      <c r="A237" s="29" t="str">
        <f t="shared" si="31"/>
        <v>Y</v>
      </c>
      <c r="B237" s="15"/>
      <c r="C237" s="16"/>
      <c r="D237" s="16"/>
      <c r="E237" s="16"/>
      <c r="F237" s="17"/>
      <c r="G237" s="328" t="s">
        <v>266</v>
      </c>
      <c r="H237" s="329" t="s">
        <v>267</v>
      </c>
      <c r="I237" s="348" t="s">
        <v>268</v>
      </c>
      <c r="J237" s="206">
        <f>J235</f>
        <v>1</v>
      </c>
    </row>
    <row r="238" s="14" customFormat="1" spans="1:10">
      <c r="A238" s="29" t="str">
        <f t="shared" si="31"/>
        <v>Y</v>
      </c>
      <c r="B238" s="15"/>
      <c r="C238" s="16"/>
      <c r="D238" s="16"/>
      <c r="E238" s="16"/>
      <c r="F238" s="17"/>
      <c r="G238" s="44" t="s">
        <v>269</v>
      </c>
      <c r="H238" s="147" t="s">
        <v>270</v>
      </c>
      <c r="I238" s="348" t="s">
        <v>271</v>
      </c>
      <c r="J238" s="206">
        <f>J235*1</f>
        <v>1</v>
      </c>
    </row>
    <row r="239" s="14" customFormat="1" spans="1:10">
      <c r="A239" s="29" t="str">
        <f t="shared" si="31"/>
        <v>Y</v>
      </c>
      <c r="B239" s="15"/>
      <c r="C239" s="16"/>
      <c r="D239" s="16"/>
      <c r="E239" s="16"/>
      <c r="F239" s="17"/>
      <c r="G239" s="44" t="s">
        <v>272</v>
      </c>
      <c r="H239" s="147" t="s">
        <v>273</v>
      </c>
      <c r="I239" s="348"/>
      <c r="J239" s="206">
        <f>J235</f>
        <v>1</v>
      </c>
    </row>
    <row r="240" s="14" customFormat="1" spans="1:10">
      <c r="A240" s="29" t="str">
        <f t="shared" si="31"/>
        <v>Y</v>
      </c>
      <c r="B240" s="15"/>
      <c r="C240" s="16"/>
      <c r="D240" s="16"/>
      <c r="E240" s="16"/>
      <c r="F240" s="17"/>
      <c r="G240" s="44" t="s">
        <v>274</v>
      </c>
      <c r="H240" s="323" t="s">
        <v>275</v>
      </c>
      <c r="I240" s="364"/>
      <c r="J240" s="206">
        <f>J235</f>
        <v>1</v>
      </c>
    </row>
    <row r="241" s="14" customFormat="1" ht="15.75" spans="1:10">
      <c r="A241" s="29"/>
      <c r="B241" s="15"/>
      <c r="C241" s="16"/>
      <c r="D241" s="16"/>
      <c r="E241" s="16"/>
      <c r="F241" s="17"/>
      <c r="G241" s="330"/>
      <c r="H241" s="190"/>
      <c r="I241" s="219" t="s">
        <v>276</v>
      </c>
      <c r="J241" s="220"/>
    </row>
    <row r="242" s="14" customFormat="1" ht="15.75" hidden="1" spans="1:10">
      <c r="A242" s="29"/>
      <c r="B242" s="15"/>
      <c r="C242" s="16"/>
      <c r="D242" s="16"/>
      <c r="E242" s="16"/>
      <c r="F242" s="17"/>
      <c r="G242" s="91"/>
      <c r="H242" s="92"/>
      <c r="I242" s="365"/>
      <c r="J242" s="366"/>
    </row>
    <row r="243" s="14" customFormat="1" hidden="1" spans="1:10">
      <c r="A243" s="29" t="str">
        <f>IF(A245="Y","Y","N")</f>
        <v>N</v>
      </c>
      <c r="B243" s="15"/>
      <c r="C243" s="16"/>
      <c r="D243" s="16"/>
      <c r="E243" s="16"/>
      <c r="F243" s="17"/>
      <c r="G243" s="331" t="s">
        <v>277</v>
      </c>
      <c r="H243" s="332"/>
      <c r="I243" s="367"/>
      <c r="J243" s="332"/>
    </row>
    <row r="244" s="14" customFormat="1" hidden="1" spans="1:10">
      <c r="A244" s="29" t="str">
        <f>IF(A245="Y","Y","N")</f>
        <v>N</v>
      </c>
      <c r="B244" s="15"/>
      <c r="C244" s="16"/>
      <c r="D244" s="16"/>
      <c r="E244" s="16"/>
      <c r="F244" s="17"/>
      <c r="G244" s="326"/>
      <c r="H244" s="327" t="s">
        <v>278</v>
      </c>
      <c r="I244" s="216" t="s">
        <v>11</v>
      </c>
      <c r="J244" s="368"/>
    </row>
    <row r="245" s="14" customFormat="1" hidden="1" spans="1:10">
      <c r="A245" s="29" t="str">
        <f t="shared" ref="A245:A250" si="32">IF(ISBLANK(J245)=TRUE,"Y",IF(J245=0,"N","Y"))</f>
        <v>N</v>
      </c>
      <c r="B245" s="15"/>
      <c r="C245" s="16"/>
      <c r="D245" s="16"/>
      <c r="E245" s="16"/>
      <c r="F245" s="17"/>
      <c r="G245" s="44" t="s">
        <v>279</v>
      </c>
      <c r="H245" s="147" t="s">
        <v>280</v>
      </c>
      <c r="I245" s="363"/>
      <c r="J245" s="266">
        <v>0</v>
      </c>
    </row>
    <row r="246" s="14" customFormat="1" hidden="1" spans="1:10">
      <c r="A246" s="29" t="str">
        <f t="shared" si="32"/>
        <v>N</v>
      </c>
      <c r="B246" s="15"/>
      <c r="C246" s="16"/>
      <c r="D246" s="16"/>
      <c r="E246" s="16"/>
      <c r="F246" s="17"/>
      <c r="G246" s="185" t="s">
        <v>263</v>
      </c>
      <c r="H246" s="87" t="s">
        <v>264</v>
      </c>
      <c r="I246" s="362" t="s">
        <v>281</v>
      </c>
      <c r="J246" s="206">
        <f>J245</f>
        <v>0</v>
      </c>
    </row>
    <row r="247" s="14" customFormat="1" ht="45" hidden="1" spans="1:10">
      <c r="A247" s="29" t="str">
        <f t="shared" si="32"/>
        <v>N</v>
      </c>
      <c r="B247" s="15"/>
      <c r="C247" s="16"/>
      <c r="D247" s="16"/>
      <c r="E247" s="16"/>
      <c r="F247" s="17"/>
      <c r="G247" s="328" t="s">
        <v>266</v>
      </c>
      <c r="H247" s="329" t="s">
        <v>267</v>
      </c>
      <c r="I247" s="348" t="s">
        <v>268</v>
      </c>
      <c r="J247" s="206">
        <f>J245</f>
        <v>0</v>
      </c>
    </row>
    <row r="248" s="14" customFormat="1" hidden="1" spans="1:10">
      <c r="A248" s="29" t="str">
        <f t="shared" si="32"/>
        <v>N</v>
      </c>
      <c r="B248" s="15"/>
      <c r="C248" s="16"/>
      <c r="D248" s="16"/>
      <c r="E248" s="16"/>
      <c r="F248" s="17"/>
      <c r="G248" s="44" t="s">
        <v>282</v>
      </c>
      <c r="H248" s="147" t="s">
        <v>283</v>
      </c>
      <c r="I248" s="348" t="s">
        <v>271</v>
      </c>
      <c r="J248" s="207">
        <f>J245*1</f>
        <v>0</v>
      </c>
    </row>
    <row r="249" s="14" customFormat="1" hidden="1" spans="1:10">
      <c r="A249" s="29" t="str">
        <f t="shared" si="32"/>
        <v>N</v>
      </c>
      <c r="B249" s="15"/>
      <c r="C249" s="16"/>
      <c r="D249" s="16"/>
      <c r="E249" s="16"/>
      <c r="F249" s="17"/>
      <c r="G249" s="44" t="s">
        <v>272</v>
      </c>
      <c r="H249" s="147" t="s">
        <v>284</v>
      </c>
      <c r="I249" s="348"/>
      <c r="J249" s="206">
        <f>J245</f>
        <v>0</v>
      </c>
    </row>
    <row r="250" s="14" customFormat="1" hidden="1" spans="1:10">
      <c r="A250" s="29" t="str">
        <f t="shared" si="32"/>
        <v>N</v>
      </c>
      <c r="B250" s="15"/>
      <c r="C250" s="16"/>
      <c r="D250" s="16"/>
      <c r="E250" s="16"/>
      <c r="F250" s="17"/>
      <c r="G250" s="44" t="s">
        <v>285</v>
      </c>
      <c r="H250" s="323" t="s">
        <v>275</v>
      </c>
      <c r="I250" s="348"/>
      <c r="J250" s="206">
        <f>J245</f>
        <v>0</v>
      </c>
    </row>
    <row r="251" s="14" customFormat="1" ht="15.75" hidden="1" spans="1:10">
      <c r="A251" s="29"/>
      <c r="B251" s="15"/>
      <c r="C251" s="16"/>
      <c r="D251" s="16"/>
      <c r="E251" s="16"/>
      <c r="F251" s="17"/>
      <c r="G251" s="330"/>
      <c r="H251" s="190"/>
      <c r="I251" s="219" t="s">
        <v>286</v>
      </c>
      <c r="J251" s="220"/>
    </row>
    <row r="252" s="14" customFormat="1" hidden="1" spans="1:10">
      <c r="A252" s="29"/>
      <c r="B252" s="15"/>
      <c r="C252" s="16"/>
      <c r="D252" s="16"/>
      <c r="E252" s="16"/>
      <c r="F252" s="17"/>
      <c r="G252" s="297"/>
      <c r="H252" s="298"/>
      <c r="I252" s="369"/>
      <c r="J252" s="370"/>
    </row>
    <row r="253" s="14" customFormat="1" spans="1:10">
      <c r="A253" s="29" t="e">
        <f>IF(#REF!="Y","Y","N")</f>
        <v>#REF!</v>
      </c>
      <c r="B253" s="15"/>
      <c r="C253" s="16"/>
      <c r="D253" s="16"/>
      <c r="E253" s="16"/>
      <c r="F253" s="17"/>
      <c r="G253" s="333"/>
      <c r="H253" s="334"/>
      <c r="I253" s="371" t="s">
        <v>287</v>
      </c>
      <c r="J253" s="372"/>
    </row>
    <row r="254" s="14" customFormat="1" ht="15.75" spans="1:10">
      <c r="A254" s="29"/>
      <c r="B254" s="15"/>
      <c r="C254" s="16"/>
      <c r="D254" s="16"/>
      <c r="E254" s="16"/>
      <c r="F254" s="17"/>
      <c r="G254" s="335"/>
      <c r="H254" s="336"/>
      <c r="I254" s="373"/>
      <c r="J254" s="374"/>
    </row>
    <row r="255" s="14" customFormat="1" ht="19.15" hidden="1" spans="1:10">
      <c r="A255" s="29" t="str">
        <f>IF(A257="Y","Y","N")</f>
        <v>N</v>
      </c>
      <c r="B255" s="15">
        <v>483</v>
      </c>
      <c r="C255" s="16"/>
      <c r="D255" s="16"/>
      <c r="E255" s="16"/>
      <c r="F255" s="17" t="str">
        <f t="shared" ref="F255:F257" si="33">IF(G255="","",LEFT(H255,75))</f>
        <v/>
      </c>
      <c r="G255" s="337" t="s">
        <v>288</v>
      </c>
      <c r="H255" s="299"/>
      <c r="I255" s="223"/>
      <c r="J255" s="194"/>
    </row>
    <row r="256" s="14" customFormat="1" ht="19.15" hidden="1" spans="1:10">
      <c r="A256" s="29" t="str">
        <f>IF(A258="Y","Y","N")</f>
        <v>N</v>
      </c>
      <c r="B256" s="15">
        <v>484</v>
      </c>
      <c r="C256" s="16"/>
      <c r="D256" s="16"/>
      <c r="E256" s="16"/>
      <c r="F256" s="17" t="str">
        <f t="shared" si="33"/>
        <v/>
      </c>
      <c r="G256" s="338" t="s">
        <v>289</v>
      </c>
      <c r="H256" s="339"/>
      <c r="I256" s="375"/>
      <c r="J256" s="376"/>
    </row>
    <row r="257" s="14" customFormat="1" ht="15.75" hidden="1" spans="1:10">
      <c r="A257" s="29" t="str">
        <f>IF(A258="Y","Y","N")</f>
        <v>N</v>
      </c>
      <c r="B257" s="15">
        <v>485</v>
      </c>
      <c r="C257" s="15"/>
      <c r="D257" s="15"/>
      <c r="E257" s="15"/>
      <c r="F257" s="17" t="str">
        <f t="shared" si="33"/>
        <v>ML350 G10</v>
      </c>
      <c r="G257" s="64" t="s">
        <v>17</v>
      </c>
      <c r="H257" s="65" t="s">
        <v>290</v>
      </c>
      <c r="I257" s="132" t="s">
        <v>19</v>
      </c>
      <c r="J257" s="133" t="s">
        <v>20</v>
      </c>
    </row>
    <row r="258" s="14" customFormat="1" ht="270" hidden="1" spans="1:10">
      <c r="A258" s="29" t="str">
        <f t="shared" ref="A258:A267" si="34">IF(ISBLANK(J258)=TRUE,"Y",IF(J258=0,"N","Y"))</f>
        <v>N</v>
      </c>
      <c r="B258" s="15"/>
      <c r="C258" s="15"/>
      <c r="D258" s="15"/>
      <c r="E258" s="15"/>
      <c r="F258" s="17"/>
      <c r="G258" s="377" t="s">
        <v>291</v>
      </c>
      <c r="H258" s="303" t="s">
        <v>292</v>
      </c>
      <c r="I258" s="142" t="s">
        <v>293</v>
      </c>
      <c r="J258" s="407">
        <f>IF(I152,1,IF(I154,1,0))</f>
        <v>0</v>
      </c>
    </row>
    <row r="259" s="14" customFormat="1" ht="45" hidden="1" spans="1:10">
      <c r="A259" s="29" t="str">
        <f t="shared" si="34"/>
        <v>N</v>
      </c>
      <c r="B259" s="15"/>
      <c r="C259" s="15"/>
      <c r="D259" s="15"/>
      <c r="E259" s="15"/>
      <c r="F259" s="17"/>
      <c r="G259" s="304" t="s">
        <v>294</v>
      </c>
      <c r="H259" s="87" t="s">
        <v>295</v>
      </c>
      <c r="I259" s="408" t="s">
        <v>296</v>
      </c>
      <c r="J259" s="345">
        <f>J258*2</f>
        <v>0</v>
      </c>
    </row>
    <row r="260" s="14" customFormat="1" hidden="1" spans="1:10">
      <c r="A260" s="29" t="str">
        <f t="shared" si="34"/>
        <v>N</v>
      </c>
      <c r="B260" s="15">
        <v>465</v>
      </c>
      <c r="C260" s="15"/>
      <c r="D260" s="15"/>
      <c r="E260" s="16"/>
      <c r="F260" s="17"/>
      <c r="G260" s="58" t="s">
        <v>297</v>
      </c>
      <c r="H260" s="87" t="s">
        <v>298</v>
      </c>
      <c r="I260" s="216"/>
      <c r="J260" s="345">
        <f>J258</f>
        <v>0</v>
      </c>
    </row>
    <row r="261" s="14" customFormat="1" hidden="1" spans="1:10">
      <c r="A261" s="29" t="str">
        <f t="shared" si="34"/>
        <v>N</v>
      </c>
      <c r="B261" s="15"/>
      <c r="C261" s="15"/>
      <c r="D261" s="15"/>
      <c r="E261" s="15"/>
      <c r="F261" s="17"/>
      <c r="G261" s="58" t="s">
        <v>299</v>
      </c>
      <c r="H261" s="305" t="s">
        <v>300</v>
      </c>
      <c r="I261" s="124"/>
      <c r="J261" s="345">
        <f>J258</f>
        <v>0</v>
      </c>
    </row>
    <row r="262" s="14" customFormat="1" hidden="1" spans="1:10">
      <c r="A262" s="29" t="str">
        <f t="shared" si="34"/>
        <v>N</v>
      </c>
      <c r="B262" s="15"/>
      <c r="C262" s="15"/>
      <c r="D262" s="15"/>
      <c r="E262" s="15"/>
      <c r="F262" s="17"/>
      <c r="G262" s="58" t="s">
        <v>301</v>
      </c>
      <c r="H262" s="305" t="s">
        <v>302</v>
      </c>
      <c r="I262" s="124"/>
      <c r="J262" s="345">
        <f>J258</f>
        <v>0</v>
      </c>
    </row>
    <row r="263" s="14" customFormat="1" ht="30" hidden="1" spans="1:10">
      <c r="A263" s="29" t="str">
        <f t="shared" si="34"/>
        <v>N</v>
      </c>
      <c r="B263" s="15"/>
      <c r="C263" s="15"/>
      <c r="D263" s="15"/>
      <c r="E263" s="15"/>
      <c r="F263" s="17"/>
      <c r="G263" s="378" t="s">
        <v>303</v>
      </c>
      <c r="H263" s="306" t="s">
        <v>304</v>
      </c>
      <c r="I263" s="409"/>
      <c r="J263" s="345">
        <f>J258</f>
        <v>0</v>
      </c>
    </row>
    <row r="264" s="14" customFormat="1" hidden="1" spans="1:10">
      <c r="A264" s="29" t="str">
        <f t="shared" si="34"/>
        <v>N</v>
      </c>
      <c r="B264" s="15"/>
      <c r="C264" s="15"/>
      <c r="D264" s="15"/>
      <c r="E264" s="15"/>
      <c r="F264" s="17"/>
      <c r="G264" s="46" t="s">
        <v>305</v>
      </c>
      <c r="H264" s="47" t="s">
        <v>306</v>
      </c>
      <c r="I264" s="124"/>
      <c r="J264" s="345">
        <f>J258</f>
        <v>0</v>
      </c>
    </row>
    <row r="265" s="14" customFormat="1" hidden="1" spans="1:10">
      <c r="A265" s="29" t="str">
        <f t="shared" si="34"/>
        <v>N</v>
      </c>
      <c r="B265" s="15"/>
      <c r="C265" s="15"/>
      <c r="D265" s="15"/>
      <c r="E265" s="15"/>
      <c r="F265" s="17"/>
      <c r="G265" s="76" t="s">
        <v>44</v>
      </c>
      <c r="H265" s="47" t="s">
        <v>307</v>
      </c>
      <c r="I265" s="362"/>
      <c r="J265" s="345">
        <f>J258</f>
        <v>0</v>
      </c>
    </row>
    <row r="266" s="14" customFormat="1" hidden="1" spans="1:10">
      <c r="A266" s="29" t="str">
        <f t="shared" si="34"/>
        <v>N</v>
      </c>
      <c r="B266" s="15"/>
      <c r="C266" s="15"/>
      <c r="D266" s="15"/>
      <c r="E266" s="15"/>
      <c r="F266" s="17"/>
      <c r="G266" s="58" t="s">
        <v>51</v>
      </c>
      <c r="H266" s="59" t="s">
        <v>91</v>
      </c>
      <c r="I266" s="362"/>
      <c r="J266" s="345">
        <f>J258*2</f>
        <v>0</v>
      </c>
    </row>
    <row r="267" s="14" customFormat="1" ht="30" hidden="1" spans="1:10">
      <c r="A267" s="29" t="str">
        <f t="shared" si="34"/>
        <v>N</v>
      </c>
      <c r="B267" s="15"/>
      <c r="C267" s="15"/>
      <c r="D267" s="15"/>
      <c r="E267" s="15"/>
      <c r="F267" s="17"/>
      <c r="G267" s="379" t="s">
        <v>308</v>
      </c>
      <c r="H267" s="380" t="s">
        <v>309</v>
      </c>
      <c r="I267" s="410" t="s">
        <v>235</v>
      </c>
      <c r="J267" s="351">
        <f>J258*1</f>
        <v>0</v>
      </c>
    </row>
    <row r="268" s="14" customFormat="1" ht="15.75" hidden="1" spans="1:10">
      <c r="A268" s="29"/>
      <c r="B268" s="15"/>
      <c r="C268" s="15"/>
      <c r="D268" s="15"/>
      <c r="E268" s="15"/>
      <c r="F268" s="17"/>
      <c r="G268" s="312"/>
      <c r="H268" s="313"/>
      <c r="I268" s="352" t="s">
        <v>236</v>
      </c>
      <c r="J268" s="353"/>
    </row>
    <row r="269" s="14" customFormat="1" ht="15.75" hidden="1" spans="1:10">
      <c r="A269" s="29" t="str">
        <f>IF(J270&gt;0,"Y","N")</f>
        <v>N</v>
      </c>
      <c r="B269" s="15">
        <v>499</v>
      </c>
      <c r="C269" s="16"/>
      <c r="D269" s="16"/>
      <c r="E269" s="16"/>
      <c r="F269" s="17" t="str">
        <f t="shared" ref="F269:F271" si="35">IF(G269="","",LEFT(H269,75))</f>
        <v/>
      </c>
      <c r="G269" s="64"/>
      <c r="H269" s="65" t="s">
        <v>65</v>
      </c>
      <c r="I269" s="132" t="s">
        <v>95</v>
      </c>
      <c r="J269" s="133" t="s">
        <v>20</v>
      </c>
    </row>
    <row r="270" s="14" customFormat="1" ht="45" hidden="1" spans="1:10">
      <c r="A270" s="29" t="str">
        <f t="shared" ref="A270:A272" si="36">IF(ISBLANK(J270)=TRUE,"Y",IF(J270=0,"N","Y"))</f>
        <v>N</v>
      </c>
      <c r="B270" s="15">
        <v>500</v>
      </c>
      <c r="C270" s="15" t="s">
        <v>102</v>
      </c>
      <c r="D270" s="15" t="s">
        <v>310</v>
      </c>
      <c r="E270" s="16" t="s">
        <v>311</v>
      </c>
      <c r="F270" s="17" t="str">
        <f t="shared" si="35"/>
        <v>Windows 2019 Standard Server license - English
** MI parts, 1 QTY with 2 co</v>
      </c>
      <c r="G270" s="229" t="s">
        <v>66</v>
      </c>
      <c r="H270" s="179" t="s">
        <v>170</v>
      </c>
      <c r="I270" s="264" t="s">
        <v>171</v>
      </c>
      <c r="J270" s="205">
        <f>(J258)*8</f>
        <v>0</v>
      </c>
    </row>
    <row r="271" s="14" customFormat="1" ht="75" hidden="1" spans="1:10">
      <c r="A271" s="29" t="str">
        <f t="shared" si="36"/>
        <v>N</v>
      </c>
      <c r="B271" s="15">
        <v>502</v>
      </c>
      <c r="C271" s="15" t="s">
        <v>102</v>
      </c>
      <c r="D271" s="15" t="s">
        <v>310</v>
      </c>
      <c r="E271" s="16" t="s">
        <v>311</v>
      </c>
      <c r="F271" s="17" t="str">
        <f t="shared" si="35"/>
        <v>Microsoft SQL Server 2019 Standard - license - 1 license</v>
      </c>
      <c r="G271" s="185" t="s">
        <v>148</v>
      </c>
      <c r="H271" s="317" t="s">
        <v>149</v>
      </c>
      <c r="I271" s="121" t="s">
        <v>312</v>
      </c>
      <c r="J271" s="206">
        <f>IF(I152&gt;0,1,0)</f>
        <v>0</v>
      </c>
    </row>
    <row r="272" s="14" customFormat="1" ht="45" hidden="1" spans="1:10">
      <c r="A272" s="29" t="str">
        <f t="shared" si="36"/>
        <v>N</v>
      </c>
      <c r="B272" s="15"/>
      <c r="C272" s="15"/>
      <c r="D272" s="15"/>
      <c r="E272" s="16"/>
      <c r="F272" s="17"/>
      <c r="G272" s="295" t="s">
        <v>151</v>
      </c>
      <c r="H272" s="296" t="s">
        <v>152</v>
      </c>
      <c r="I272" s="216" t="s">
        <v>156</v>
      </c>
      <c r="J272" s="208">
        <f>J271*5</f>
        <v>0</v>
      </c>
    </row>
    <row r="273" s="14" customFormat="1" hidden="1" spans="1:10">
      <c r="A273" s="29" t="e">
        <f>IF(#REF!&gt;0,"Y","N")</f>
        <v>#REF!</v>
      </c>
      <c r="B273" s="15">
        <v>504</v>
      </c>
      <c r="C273" s="16" t="s">
        <v>175</v>
      </c>
      <c r="D273" s="15" t="s">
        <v>22</v>
      </c>
      <c r="E273" s="16" t="s">
        <v>258</v>
      </c>
      <c r="F273" s="17" t="str">
        <f>IF(G273="","",LEFT(H273,75))</f>
        <v/>
      </c>
      <c r="G273" s="259"/>
      <c r="H273" s="188"/>
      <c r="I273" s="411" t="s">
        <v>69</v>
      </c>
      <c r="J273" s="412"/>
    </row>
    <row r="274" s="14" customFormat="1" ht="15.75" hidden="1" spans="1:10">
      <c r="A274" s="29" t="e">
        <f>IF(#REF!&gt;0,"Y","N")</f>
        <v>#REF!</v>
      </c>
      <c r="B274" s="15">
        <v>506</v>
      </c>
      <c r="C274" s="15"/>
      <c r="D274" s="15"/>
      <c r="E274" s="15"/>
      <c r="F274" s="17" t="str">
        <f>IF(G274="","",LEFT(H274,75))</f>
        <v/>
      </c>
      <c r="G274" s="189"/>
      <c r="H274" s="190"/>
      <c r="I274" s="413" t="s">
        <v>313</v>
      </c>
      <c r="J274" s="414"/>
    </row>
    <row r="275" s="14" customFormat="1" ht="15.75" hidden="1" spans="1:10">
      <c r="A275" s="381"/>
      <c r="B275" s="15"/>
      <c r="C275" s="15"/>
      <c r="D275" s="15"/>
      <c r="E275" s="15"/>
      <c r="F275" s="17"/>
      <c r="G275" s="297"/>
      <c r="H275" s="298"/>
      <c r="I275" s="340"/>
      <c r="J275" s="341"/>
    </row>
    <row r="276" s="14" customFormat="1" spans="1:10">
      <c r="A276" s="29" t="str">
        <f>IF(A278="Y","Y","N")</f>
        <v>Y</v>
      </c>
      <c r="B276" s="15"/>
      <c r="C276" s="15"/>
      <c r="D276" s="15"/>
      <c r="E276" s="15"/>
      <c r="F276" s="17"/>
      <c r="G276" s="382" t="s">
        <v>314</v>
      </c>
      <c r="H276" s="383"/>
      <c r="I276" s="415"/>
      <c r="J276" s="383"/>
    </row>
    <row r="277" s="14" customFormat="1" spans="1:10">
      <c r="A277" s="29" t="str">
        <f>IF(A278="Y","Y","N")</f>
        <v>Y</v>
      </c>
      <c r="B277" s="15"/>
      <c r="C277" s="15"/>
      <c r="D277" s="15"/>
      <c r="E277" s="15"/>
      <c r="F277" s="17"/>
      <c r="G277" s="384"/>
      <c r="H277" s="385" t="s">
        <v>315</v>
      </c>
      <c r="I277" s="416"/>
      <c r="J277" s="417"/>
    </row>
    <row r="278" s="14" customFormat="1" ht="15.75" customHeight="1" spans="1:10">
      <c r="A278" s="29" t="str">
        <f t="shared" ref="A278:A284" si="37">IF(ISBLANK(J278)=TRUE,"Y",IF(J278=0,"N","Y"))</f>
        <v>Y</v>
      </c>
      <c r="B278" s="15"/>
      <c r="C278" s="15"/>
      <c r="D278" s="15"/>
      <c r="E278" s="15"/>
      <c r="F278" s="17"/>
      <c r="G278" s="386" t="s">
        <v>316</v>
      </c>
      <c r="H278" s="387" t="s">
        <v>317</v>
      </c>
      <c r="I278" s="418" t="s">
        <v>318</v>
      </c>
      <c r="J278" s="419">
        <v>1</v>
      </c>
    </row>
    <row r="279" s="14" customFormat="1" spans="1:10">
      <c r="A279" s="29" t="str">
        <f t="shared" si="37"/>
        <v>Y</v>
      </c>
      <c r="B279" s="15"/>
      <c r="C279" s="15"/>
      <c r="D279" s="15"/>
      <c r="E279" s="15"/>
      <c r="F279" s="17"/>
      <c r="G279" s="386" t="s">
        <v>319</v>
      </c>
      <c r="H279" s="388" t="s">
        <v>320</v>
      </c>
      <c r="I279" s="420" t="s">
        <v>321</v>
      </c>
      <c r="J279" s="421">
        <f>J278*2</f>
        <v>2</v>
      </c>
    </row>
    <row r="280" s="14" customFormat="1" spans="1:10">
      <c r="A280" s="29" t="str">
        <f t="shared" si="37"/>
        <v>Y</v>
      </c>
      <c r="B280" s="15"/>
      <c r="C280" s="15"/>
      <c r="D280" s="15"/>
      <c r="E280" s="15"/>
      <c r="F280" s="17"/>
      <c r="G280" s="386" t="s">
        <v>322</v>
      </c>
      <c r="H280" s="388" t="s">
        <v>323</v>
      </c>
      <c r="I280" s="420" t="s">
        <v>324</v>
      </c>
      <c r="J280" s="421">
        <f>J278*3</f>
        <v>3</v>
      </c>
    </row>
    <row r="281" s="14" customFormat="1" spans="1:10">
      <c r="A281" s="29" t="str">
        <f t="shared" si="37"/>
        <v>Y</v>
      </c>
      <c r="B281" s="15"/>
      <c r="C281" s="15"/>
      <c r="D281" s="15"/>
      <c r="E281" s="15"/>
      <c r="F281" s="17"/>
      <c r="G281" s="386" t="s">
        <v>325</v>
      </c>
      <c r="H281" s="388" t="s">
        <v>326</v>
      </c>
      <c r="I281" s="416" t="s">
        <v>327</v>
      </c>
      <c r="J281" s="421">
        <f>J278</f>
        <v>1</v>
      </c>
    </row>
    <row r="282" s="14" customFormat="1" ht="31.5" hidden="1" customHeight="1" spans="1:10">
      <c r="A282" s="29" t="str">
        <f t="shared" si="37"/>
        <v>N</v>
      </c>
      <c r="B282" s="15"/>
      <c r="C282" s="15"/>
      <c r="D282" s="15"/>
      <c r="E282" s="15"/>
      <c r="F282" s="17"/>
      <c r="G282" s="386" t="s">
        <v>328</v>
      </c>
      <c r="H282" s="388" t="s">
        <v>329</v>
      </c>
      <c r="I282" s="416" t="s">
        <v>330</v>
      </c>
      <c r="J282" s="421">
        <f>J278*0</f>
        <v>0</v>
      </c>
    </row>
    <row r="283" s="14" customFormat="1" ht="60" spans="1:10">
      <c r="A283" s="29" t="str">
        <f t="shared" si="37"/>
        <v>Y</v>
      </c>
      <c r="B283" s="15"/>
      <c r="C283" s="15"/>
      <c r="D283" s="15"/>
      <c r="E283" s="15"/>
      <c r="F283" s="17"/>
      <c r="G283" s="389"/>
      <c r="H283" s="385" t="s">
        <v>331</v>
      </c>
      <c r="I283" s="420" t="s">
        <v>332</v>
      </c>
      <c r="J283" s="422"/>
    </row>
    <row r="284" s="14" customFormat="1" hidden="1" spans="1:10">
      <c r="A284" s="29" t="str">
        <f t="shared" si="37"/>
        <v>Y</v>
      </c>
      <c r="B284" s="15"/>
      <c r="C284" s="15"/>
      <c r="D284" s="15"/>
      <c r="E284" s="15"/>
      <c r="F284" s="17"/>
      <c r="G284" s="386" t="s">
        <v>333</v>
      </c>
      <c r="H284" s="388" t="s">
        <v>334</v>
      </c>
      <c r="I284" s="423" t="s">
        <v>335</v>
      </c>
      <c r="J284" s="424">
        <v>1</v>
      </c>
    </row>
    <row r="285" s="14" customFormat="1" spans="1:10">
      <c r="A285" s="29" t="str">
        <f>IF(ISBLANK(J284)=TRUE,"Y",IF(J284=0,"N","Y"))</f>
        <v>Y</v>
      </c>
      <c r="B285" s="15"/>
      <c r="C285" s="15"/>
      <c r="D285" s="15"/>
      <c r="E285" s="15"/>
      <c r="F285" s="17"/>
      <c r="G285" s="386" t="s">
        <v>336</v>
      </c>
      <c r="H285" s="388" t="s">
        <v>337</v>
      </c>
      <c r="I285" s="423" t="s">
        <v>338</v>
      </c>
      <c r="J285" s="425"/>
    </row>
    <row r="286" s="14" customFormat="1" ht="60" spans="1:10">
      <c r="A286" s="29" t="str">
        <f>IF(A287="Y","Y",IF(A288="Y","Y","N"))</f>
        <v>Y</v>
      </c>
      <c r="B286" s="15"/>
      <c r="C286" s="15"/>
      <c r="D286" s="15"/>
      <c r="E286" s="15"/>
      <c r="F286" s="17"/>
      <c r="G286" s="390"/>
      <c r="H286" s="385" t="s">
        <v>339</v>
      </c>
      <c r="I286" s="416" t="s">
        <v>340</v>
      </c>
      <c r="J286" s="417"/>
    </row>
    <row r="287" s="14" customFormat="1" spans="1:10">
      <c r="A287" s="29" t="str">
        <f t="shared" ref="A287:A300" si="38">IF(ISBLANK(J287)=TRUE,"Y",IF(J287=0,"N","Y"))</f>
        <v>Y</v>
      </c>
      <c r="B287" s="15"/>
      <c r="C287" s="15"/>
      <c r="D287" s="15"/>
      <c r="E287" s="15"/>
      <c r="F287" s="17"/>
      <c r="G287" s="386" t="s">
        <v>341</v>
      </c>
      <c r="H287" s="388" t="s">
        <v>342</v>
      </c>
      <c r="I287" s="420" t="s">
        <v>343</v>
      </c>
      <c r="J287" s="421">
        <f>IF(J290&gt;24,0,IF(J290&gt;14,1,IF(J290&lt;=6,1,0)))</f>
        <v>1</v>
      </c>
    </row>
    <row r="288" s="14" customFormat="1" hidden="1" spans="1:10">
      <c r="A288" s="29" t="str">
        <f t="shared" si="38"/>
        <v>N</v>
      </c>
      <c r="B288" s="15"/>
      <c r="C288" s="15"/>
      <c r="D288" s="15"/>
      <c r="E288" s="15"/>
      <c r="F288" s="17"/>
      <c r="G288" s="386" t="s">
        <v>344</v>
      </c>
      <c r="H288" s="391" t="s">
        <v>345</v>
      </c>
      <c r="I288" s="420" t="s">
        <v>346</v>
      </c>
      <c r="J288" s="421">
        <f>IF(J290&gt;24,2,IF(J290&gt;14,1,IF(J290&gt;6,1,0)))</f>
        <v>0</v>
      </c>
    </row>
    <row r="289" s="14" customFormat="1" spans="1:10">
      <c r="A289" s="29" t="str">
        <f t="shared" si="38"/>
        <v>Y</v>
      </c>
      <c r="B289" s="15"/>
      <c r="C289" s="15"/>
      <c r="D289" s="15"/>
      <c r="E289" s="15"/>
      <c r="F289" s="17"/>
      <c r="G289" s="386" t="s">
        <v>347</v>
      </c>
      <c r="H289" s="392" t="s">
        <v>348</v>
      </c>
      <c r="I289" s="420" t="s">
        <v>349</v>
      </c>
      <c r="J289" s="421">
        <f>IF(J290&gt;23,4,IF(J290&gt;15,3,IF(J290&lt;8,1,2)))</f>
        <v>1</v>
      </c>
    </row>
    <row r="290" s="14" customFormat="1" spans="1:10">
      <c r="A290" s="29" t="str">
        <f t="shared" si="38"/>
        <v>Y</v>
      </c>
      <c r="B290" s="15"/>
      <c r="C290" s="15"/>
      <c r="D290" s="15"/>
      <c r="E290" s="15"/>
      <c r="F290" s="17"/>
      <c r="G290" s="386" t="s">
        <v>350</v>
      </c>
      <c r="H290" s="388" t="s">
        <v>351</v>
      </c>
      <c r="I290" s="420" t="s">
        <v>352</v>
      </c>
      <c r="J290" s="421">
        <f>ROUND(J10+J34+J91+J128+J170+J203+J258,0)</f>
        <v>6</v>
      </c>
    </row>
    <row r="291" s="14" customFormat="1" spans="1:10">
      <c r="A291" s="29" t="str">
        <f t="shared" si="38"/>
        <v>Y</v>
      </c>
      <c r="B291" s="15"/>
      <c r="C291" s="15"/>
      <c r="D291" s="15"/>
      <c r="E291" s="15"/>
      <c r="F291" s="17"/>
      <c r="G291" s="386"/>
      <c r="H291" s="385" t="s">
        <v>353</v>
      </c>
      <c r="I291" s="416"/>
      <c r="J291" s="422"/>
    </row>
    <row r="292" s="14" customFormat="1" spans="1:10">
      <c r="A292" s="29" t="str">
        <f t="shared" si="38"/>
        <v>Y</v>
      </c>
      <c r="B292" s="15"/>
      <c r="C292" s="15"/>
      <c r="D292" s="15"/>
      <c r="E292" s="15"/>
      <c r="F292" s="17"/>
      <c r="G292" s="386" t="s">
        <v>354</v>
      </c>
      <c r="H292" s="388" t="s">
        <v>355</v>
      </c>
      <c r="I292" s="420" t="s">
        <v>356</v>
      </c>
      <c r="J292" s="421">
        <f>J278*4</f>
        <v>4</v>
      </c>
    </row>
    <row r="293" s="14" customFormat="1" ht="45" spans="1:10">
      <c r="A293" s="29" t="str">
        <f t="shared" si="38"/>
        <v>Y</v>
      </c>
      <c r="B293" s="15"/>
      <c r="C293" s="15"/>
      <c r="D293" s="15"/>
      <c r="E293" s="15"/>
      <c r="F293" s="17"/>
      <c r="G293" s="386" t="s">
        <v>357</v>
      </c>
      <c r="H293" s="388" t="s">
        <v>358</v>
      </c>
      <c r="I293" s="420" t="s">
        <v>359</v>
      </c>
      <c r="J293" s="421">
        <f>J278*2</f>
        <v>2</v>
      </c>
    </row>
    <row r="294" s="14" customFormat="1" ht="45" spans="1:10">
      <c r="A294" s="29" t="str">
        <f t="shared" si="38"/>
        <v>Y</v>
      </c>
      <c r="B294" s="15"/>
      <c r="C294" s="15"/>
      <c r="D294" s="15"/>
      <c r="E294" s="15"/>
      <c r="F294" s="17"/>
      <c r="G294" s="386" t="s">
        <v>360</v>
      </c>
      <c r="H294" s="388" t="s">
        <v>361</v>
      </c>
      <c r="I294" s="420" t="s">
        <v>362</v>
      </c>
      <c r="J294" s="421">
        <f>J278</f>
        <v>1</v>
      </c>
    </row>
    <row r="295" s="14" customFormat="1" ht="15.75" customHeight="1" spans="1:10">
      <c r="A295" s="29" t="str">
        <f t="shared" si="38"/>
        <v>Y</v>
      </c>
      <c r="B295" s="15"/>
      <c r="C295" s="15"/>
      <c r="D295" s="15"/>
      <c r="E295" s="15"/>
      <c r="F295" s="17"/>
      <c r="G295" s="386" t="s">
        <v>363</v>
      </c>
      <c r="H295" s="388" t="s">
        <v>364</v>
      </c>
      <c r="I295" s="420" t="s">
        <v>365</v>
      </c>
      <c r="J295" s="421">
        <f>J278</f>
        <v>1</v>
      </c>
    </row>
    <row r="296" s="14" customFormat="1" ht="15.75" customHeight="1" spans="1:10">
      <c r="A296" s="29" t="str">
        <f t="shared" si="38"/>
        <v>Y</v>
      </c>
      <c r="B296" s="15"/>
      <c r="C296" s="15"/>
      <c r="D296" s="15"/>
      <c r="E296" s="15"/>
      <c r="F296" s="17"/>
      <c r="G296" s="386" t="s">
        <v>366</v>
      </c>
      <c r="H296" s="388" t="s">
        <v>367</v>
      </c>
      <c r="I296" s="420" t="s">
        <v>365</v>
      </c>
      <c r="J296" s="421">
        <f>J278</f>
        <v>1</v>
      </c>
    </row>
    <row r="297" s="14" customFormat="1" ht="45" hidden="1" spans="1:10">
      <c r="A297" s="29" t="str">
        <f t="shared" si="38"/>
        <v>N</v>
      </c>
      <c r="B297" s="15"/>
      <c r="C297" s="15"/>
      <c r="D297" s="15"/>
      <c r="E297" s="15"/>
      <c r="F297" s="17"/>
      <c r="G297" s="386" t="s">
        <v>368</v>
      </c>
      <c r="H297" s="388" t="s">
        <v>369</v>
      </c>
      <c r="I297" s="420" t="s">
        <v>370</v>
      </c>
      <c r="J297" s="421">
        <v>0</v>
      </c>
    </row>
    <row r="298" s="14" customFormat="1" hidden="1" spans="1:10">
      <c r="A298" s="29" t="str">
        <f t="shared" si="38"/>
        <v>Y</v>
      </c>
      <c r="B298" s="15"/>
      <c r="C298" s="15"/>
      <c r="D298" s="15"/>
      <c r="E298" s="15"/>
      <c r="F298" s="17"/>
      <c r="G298" s="393"/>
      <c r="H298" s="385" t="s">
        <v>371</v>
      </c>
      <c r="I298" s="416"/>
      <c r="J298" s="417"/>
    </row>
    <row r="299" s="14" customFormat="1" ht="49.5" hidden="1" customHeight="1" spans="1:10">
      <c r="A299" s="29" t="str">
        <f t="shared" si="38"/>
        <v>N</v>
      </c>
      <c r="B299" s="15"/>
      <c r="C299" s="15"/>
      <c r="D299" s="15"/>
      <c r="E299" s="15"/>
      <c r="F299" s="17"/>
      <c r="G299" s="386" t="s">
        <v>372</v>
      </c>
      <c r="H299" s="388" t="s">
        <v>373</v>
      </c>
      <c r="I299" s="420" t="s">
        <v>374</v>
      </c>
      <c r="J299" s="419">
        <v>0</v>
      </c>
    </row>
    <row r="300" s="14" customFormat="1" ht="31.5" hidden="1" customHeight="1" spans="1:10">
      <c r="A300" s="29" t="str">
        <f t="shared" si="38"/>
        <v>N</v>
      </c>
      <c r="B300" s="15"/>
      <c r="C300" s="15"/>
      <c r="D300" s="15"/>
      <c r="E300" s="15"/>
      <c r="F300" s="17"/>
      <c r="G300" s="386" t="s">
        <v>375</v>
      </c>
      <c r="H300" s="388" t="s">
        <v>376</v>
      </c>
      <c r="I300" s="420" t="s">
        <v>377</v>
      </c>
      <c r="J300" s="419">
        <f>J299</f>
        <v>0</v>
      </c>
    </row>
    <row r="301" s="14" customFormat="1" ht="31.5" hidden="1" customHeight="1" spans="1:10">
      <c r="A301" s="29"/>
      <c r="B301" s="15"/>
      <c r="C301" s="15"/>
      <c r="D301" s="15"/>
      <c r="E301" s="15"/>
      <c r="F301" s="17"/>
      <c r="G301" s="394" t="s">
        <v>378</v>
      </c>
      <c r="H301" s="395"/>
      <c r="I301" s="426" t="s">
        <v>379</v>
      </c>
      <c r="J301" s="427" t="s">
        <v>380</v>
      </c>
    </row>
    <row r="302" s="14" customFormat="1" ht="15.75" spans="1:10">
      <c r="A302" s="29" t="str">
        <f>IF(A278="Y","Y","N")</f>
        <v>Y</v>
      </c>
      <c r="B302" s="15"/>
      <c r="C302" s="15"/>
      <c r="D302" s="15"/>
      <c r="E302" s="15"/>
      <c r="F302" s="17"/>
      <c r="G302" s="396"/>
      <c r="H302" s="397"/>
      <c r="I302" s="428" t="s">
        <v>381</v>
      </c>
      <c r="J302" s="429"/>
    </row>
    <row r="303" s="14" customFormat="1" ht="15.75" spans="1:10">
      <c r="A303" s="29"/>
      <c r="B303" s="15"/>
      <c r="C303" s="15"/>
      <c r="D303" s="15"/>
      <c r="E303" s="15"/>
      <c r="F303" s="17"/>
      <c r="G303" s="13"/>
      <c r="H303" s="18"/>
      <c r="I303" s="430"/>
      <c r="J303" s="20"/>
    </row>
    <row r="304" s="14" customFormat="1" spans="1:10">
      <c r="A304" s="29" t="str">
        <f>IF(A305="Y","Y","N")</f>
        <v>N</v>
      </c>
      <c r="B304" s="15">
        <v>406</v>
      </c>
      <c r="C304" s="16"/>
      <c r="D304" s="16"/>
      <c r="E304" s="16"/>
      <c r="F304" s="17" t="str">
        <f t="shared" ref="F304:F312" si="39">IF(G304="","",LEFT(H304,75))</f>
        <v/>
      </c>
      <c r="G304" s="331" t="s">
        <v>382</v>
      </c>
      <c r="H304" s="332"/>
      <c r="I304" s="367"/>
      <c r="J304" s="332"/>
    </row>
    <row r="305" s="14" customFormat="1" ht="15.75" hidden="1" customHeight="1" spans="1:10">
      <c r="A305" s="29" t="str">
        <f t="shared" ref="A305:A309" si="40">IF(ISBLANK(J305)=TRUE,"Y",IF(J305=0,"N","Y"))</f>
        <v>N</v>
      </c>
      <c r="B305" s="15">
        <v>408</v>
      </c>
      <c r="C305" s="15" t="s">
        <v>21</v>
      </c>
      <c r="D305" s="15" t="s">
        <v>371</v>
      </c>
      <c r="E305" s="15" t="s">
        <v>383</v>
      </c>
      <c r="F305" s="17" t="str">
        <f t="shared" si="39"/>
        <v>APC Back-UPS RS 500VA</v>
      </c>
      <c r="G305" s="185" t="s">
        <v>384</v>
      </c>
      <c r="H305" s="87" t="s">
        <v>385</v>
      </c>
      <c r="I305" s="216" t="s">
        <v>386</v>
      </c>
      <c r="J305" s="431">
        <v>0</v>
      </c>
    </row>
    <row r="306" s="14" customFormat="1" ht="30" hidden="1" spans="1:10">
      <c r="A306" s="29" t="str">
        <f t="shared" si="40"/>
        <v>N</v>
      </c>
      <c r="B306" s="15">
        <v>409</v>
      </c>
      <c r="C306" s="16" t="s">
        <v>21</v>
      </c>
      <c r="D306" s="15" t="s">
        <v>371</v>
      </c>
      <c r="E306" s="15" t="s">
        <v>383</v>
      </c>
      <c r="F306" s="17" t="str">
        <f t="shared" si="39"/>
        <v>APC Smart-UPS SRT 10000VA RM 230V. Input 230V/Output 230V, Interface Port(s</v>
      </c>
      <c r="G306" s="398" t="s">
        <v>387</v>
      </c>
      <c r="H306" s="399" t="s">
        <v>388</v>
      </c>
      <c r="I306" s="216" t="s">
        <v>389</v>
      </c>
      <c r="J306" s="431">
        <v>0</v>
      </c>
    </row>
    <row r="307" s="14" customFormat="1" spans="1:10">
      <c r="A307" s="29" t="str">
        <f t="shared" si="40"/>
        <v>Y</v>
      </c>
      <c r="B307" s="15">
        <v>410</v>
      </c>
      <c r="C307" s="15" t="s">
        <v>21</v>
      </c>
      <c r="D307" s="15" t="s">
        <v>390</v>
      </c>
      <c r="E307" s="16" t="s">
        <v>390</v>
      </c>
      <c r="F307" s="17" t="str">
        <f t="shared" si="39"/>
        <v>Brother® P-Touch Electronic Label Machine </v>
      </c>
      <c r="G307" s="185" t="s">
        <v>391</v>
      </c>
      <c r="H307" s="87" t="s">
        <v>392</v>
      </c>
      <c r="I307" s="216"/>
      <c r="J307" s="432">
        <v>1</v>
      </c>
    </row>
    <row r="308" s="14" customFormat="1" spans="1:10">
      <c r="A308" s="29" t="str">
        <f t="shared" si="40"/>
        <v>Y</v>
      </c>
      <c r="B308" s="15">
        <v>411</v>
      </c>
      <c r="C308" s="15" t="s">
        <v>21</v>
      </c>
      <c r="D308" s="15" t="s">
        <v>390</v>
      </c>
      <c r="E308" s="16" t="s">
        <v>390</v>
      </c>
      <c r="F308" s="17" t="str">
        <f t="shared" si="39"/>
        <v>Label maker for Brother P-Touch Electronic Label Machine</v>
      </c>
      <c r="G308" s="322" t="s">
        <v>11</v>
      </c>
      <c r="H308" s="87" t="s">
        <v>393</v>
      </c>
      <c r="I308" s="216" t="s">
        <v>394</v>
      </c>
      <c r="J308" s="432">
        <v>50</v>
      </c>
    </row>
    <row r="309" s="14" customFormat="1" hidden="1" spans="1:10">
      <c r="A309" s="29" t="str">
        <f t="shared" si="40"/>
        <v>N</v>
      </c>
      <c r="B309" s="15">
        <v>623</v>
      </c>
      <c r="C309" s="15" t="s">
        <v>21</v>
      </c>
      <c r="D309" s="15" t="s">
        <v>310</v>
      </c>
      <c r="E309" s="16" t="s">
        <v>395</v>
      </c>
      <c r="F309" s="17" t="str">
        <f t="shared" si="39"/>
        <v/>
      </c>
      <c r="G309" s="322"/>
      <c r="H309" s="87" t="s">
        <v>396</v>
      </c>
      <c r="I309" s="216" t="s">
        <v>397</v>
      </c>
      <c r="J309" s="431">
        <v>0</v>
      </c>
    </row>
    <row r="310" s="14" customFormat="1" ht="15.75" spans="1:10">
      <c r="A310" s="29" t="str">
        <f>IF(A305="Y","Y","N")</f>
        <v>N</v>
      </c>
      <c r="B310" s="15">
        <v>415</v>
      </c>
      <c r="C310" s="15"/>
      <c r="D310" s="15"/>
      <c r="E310" s="15"/>
      <c r="F310" s="17" t="str">
        <f t="shared" si="39"/>
        <v/>
      </c>
      <c r="G310" s="400"/>
      <c r="H310" s="190"/>
      <c r="I310" s="219" t="s">
        <v>398</v>
      </c>
      <c r="J310" s="220"/>
    </row>
    <row r="311" s="14" customFormat="1" ht="15.75" spans="1:10">
      <c r="A311" s="29"/>
      <c r="B311" s="15">
        <v>416</v>
      </c>
      <c r="C311" s="15"/>
      <c r="D311" s="15"/>
      <c r="E311" s="15"/>
      <c r="F311" s="17" t="str">
        <f t="shared" si="39"/>
        <v/>
      </c>
      <c r="G311" s="13"/>
      <c r="H311" s="18"/>
      <c r="I311" s="430"/>
      <c r="J311" s="20"/>
    </row>
    <row r="312" s="14" customFormat="1" spans="1:10">
      <c r="A312" s="29"/>
      <c r="B312" s="15">
        <v>417</v>
      </c>
      <c r="C312" s="16"/>
      <c r="D312" s="16"/>
      <c r="E312" s="16"/>
      <c r="F312" s="17" t="str">
        <f t="shared" si="39"/>
        <v/>
      </c>
      <c r="G312" s="401" t="s">
        <v>399</v>
      </c>
      <c r="H312" s="402"/>
      <c r="I312" s="402"/>
      <c r="J312" s="402"/>
    </row>
    <row r="313" s="14" customFormat="1" ht="135" spans="1:10">
      <c r="A313" s="29"/>
      <c r="B313" s="15"/>
      <c r="C313" s="16"/>
      <c r="D313" s="16"/>
      <c r="E313" s="16"/>
      <c r="F313" s="17"/>
      <c r="G313" s="403" t="s">
        <v>400</v>
      </c>
      <c r="H313" s="69" t="s">
        <v>401</v>
      </c>
      <c r="I313" s="433" t="s">
        <v>402</v>
      </c>
      <c r="J313" s="431">
        <v>1</v>
      </c>
    </row>
    <row r="314" s="14" customFormat="1" spans="1:10">
      <c r="A314" s="29"/>
      <c r="B314" s="15"/>
      <c r="C314" s="16"/>
      <c r="D314" s="16"/>
      <c r="E314" s="16"/>
      <c r="F314" s="17"/>
      <c r="G314" s="403" t="s">
        <v>403</v>
      </c>
      <c r="H314" s="69" t="s">
        <v>404</v>
      </c>
      <c r="I314" s="433"/>
      <c r="J314" s="431">
        <v>1</v>
      </c>
    </row>
    <row r="315" s="14" customFormat="1" spans="1:10">
      <c r="A315" s="16"/>
      <c r="B315" s="16"/>
      <c r="C315" s="16"/>
      <c r="D315" s="16"/>
      <c r="E315" s="16"/>
      <c r="F315" s="17"/>
      <c r="G315" s="322" t="s">
        <v>405</v>
      </c>
      <c r="H315" s="87" t="s">
        <v>406</v>
      </c>
      <c r="I315" s="87" t="s">
        <v>407</v>
      </c>
      <c r="J315" s="431">
        <v>1</v>
      </c>
    </row>
    <row r="316" s="14" customFormat="1" ht="90" hidden="1" spans="1:10">
      <c r="A316" s="16"/>
      <c r="B316" s="16"/>
      <c r="C316" s="16"/>
      <c r="D316" s="16"/>
      <c r="E316" s="16"/>
      <c r="F316" s="17"/>
      <c r="G316" s="404"/>
      <c r="H316" s="405" t="s">
        <v>408</v>
      </c>
      <c r="I316" s="434" t="s">
        <v>409</v>
      </c>
      <c r="J316" s="290">
        <v>0</v>
      </c>
    </row>
    <row r="317" s="14" customFormat="1" spans="1:10">
      <c r="A317" s="16"/>
      <c r="B317" s="16"/>
      <c r="C317" s="16"/>
      <c r="D317" s="16"/>
      <c r="E317" s="16"/>
      <c r="F317" s="17"/>
      <c r="G317" s="404"/>
      <c r="H317" s="406" t="s">
        <v>410</v>
      </c>
      <c r="I317" s="434"/>
      <c r="J317" s="435"/>
    </row>
    <row r="318" s="14" customFormat="1" ht="45" spans="1:10">
      <c r="A318" s="16"/>
      <c r="B318" s="16"/>
      <c r="C318" s="16"/>
      <c r="D318" s="16"/>
      <c r="E318" s="16"/>
      <c r="F318" s="17"/>
      <c r="G318" s="322"/>
      <c r="H318" s="405" t="s">
        <v>411</v>
      </c>
      <c r="I318" s="434" t="s">
        <v>412</v>
      </c>
      <c r="J318" s="290">
        <v>1</v>
      </c>
    </row>
  </sheetData>
  <mergeCells count="22">
    <mergeCell ref="G5:J5"/>
    <mergeCell ref="I29:J29"/>
    <mergeCell ref="I56:J56"/>
    <mergeCell ref="G59:J59"/>
    <mergeCell ref="G60:H60"/>
    <mergeCell ref="H88:I88"/>
    <mergeCell ref="I122:J122"/>
    <mergeCell ref="G126:H126"/>
    <mergeCell ref="I143:J143"/>
    <mergeCell ref="G147:H147"/>
    <mergeCell ref="G168:I168"/>
    <mergeCell ref="G201:H201"/>
    <mergeCell ref="I217:J217"/>
    <mergeCell ref="G223:I223"/>
    <mergeCell ref="G224:I224"/>
    <mergeCell ref="G227:H227"/>
    <mergeCell ref="I232:J232"/>
    <mergeCell ref="I268:J268"/>
    <mergeCell ref="I273:J273"/>
    <mergeCell ref="G301:H301"/>
    <mergeCell ref="G312:J312"/>
    <mergeCell ref="J284:J285"/>
  </mergeCells>
  <conditionalFormatting sqref="G10">
    <cfRule type="cellIs" dxfId="0" priority="168" stopIfTrue="1" operator="equal">
      <formula>"new"</formula>
    </cfRule>
  </conditionalFormatting>
  <conditionalFormatting sqref="H10">
    <cfRule type="cellIs" dxfId="0" priority="167" stopIfTrue="1" operator="equal">
      <formula>"new"</formula>
    </cfRule>
  </conditionalFormatting>
  <conditionalFormatting sqref="G15:H15">
    <cfRule type="cellIs" dxfId="1" priority="164" stopIfTrue="1" operator="equal">
      <formula>"old"</formula>
    </cfRule>
    <cfRule type="cellIs" dxfId="0" priority="163" stopIfTrue="1" operator="equal">
      <formula>"new"</formula>
    </cfRule>
  </conditionalFormatting>
  <conditionalFormatting sqref="I25">
    <cfRule type="cellIs" dxfId="0" priority="162" stopIfTrue="1" operator="equal">
      <formula>"new"</formula>
    </cfRule>
  </conditionalFormatting>
  <conditionalFormatting sqref="H28">
    <cfRule type="cellIs" dxfId="1" priority="66" stopIfTrue="1" operator="equal">
      <formula>"old"</formula>
    </cfRule>
    <cfRule type="cellIs" dxfId="0" priority="65" stopIfTrue="1" operator="equal">
      <formula>"new"</formula>
    </cfRule>
  </conditionalFormatting>
  <conditionalFormatting sqref="I28">
    <cfRule type="cellIs" dxfId="0" priority="67" stopIfTrue="1" operator="equal">
      <formula>"new"</formula>
    </cfRule>
  </conditionalFormatting>
  <conditionalFormatting sqref="G29:H29">
    <cfRule type="cellIs" dxfId="0" priority="64" stopIfTrue="1" operator="equal">
      <formula>"new"</formula>
    </cfRule>
  </conditionalFormatting>
  <conditionalFormatting sqref="G35:H35">
    <cfRule type="cellIs" dxfId="1" priority="157" stopIfTrue="1" operator="equal">
      <formula>"old"</formula>
    </cfRule>
    <cfRule type="cellIs" dxfId="0" priority="156" stopIfTrue="1" operator="equal">
      <formula>"new"</formula>
    </cfRule>
  </conditionalFormatting>
  <conditionalFormatting sqref="I48">
    <cfRule type="cellIs" dxfId="0" priority="153" stopIfTrue="1" operator="equal">
      <formula>"new"</formula>
    </cfRule>
  </conditionalFormatting>
  <conditionalFormatting sqref="I49">
    <cfRule type="cellIs" dxfId="0" priority="150" stopIfTrue="1" operator="equal">
      <formula>"new"</formula>
    </cfRule>
  </conditionalFormatting>
  <conditionalFormatting sqref="H55">
    <cfRule type="cellIs" dxfId="1" priority="16" stopIfTrue="1" operator="equal">
      <formula>"old"</formula>
    </cfRule>
    <cfRule type="cellIs" dxfId="0" priority="15" stopIfTrue="1" operator="equal">
      <formula>"new"</formula>
    </cfRule>
  </conditionalFormatting>
  <conditionalFormatting sqref="I55">
    <cfRule type="cellIs" dxfId="0" priority="106" stopIfTrue="1" operator="equal">
      <formula>"new"</formula>
    </cfRule>
  </conditionalFormatting>
  <conditionalFormatting sqref="G56:H56">
    <cfRule type="cellIs" dxfId="0" priority="119" stopIfTrue="1" operator="equal">
      <formula>"new"</formula>
    </cfRule>
  </conditionalFormatting>
  <conditionalFormatting sqref="I58">
    <cfRule type="cellIs" dxfId="0" priority="177" stopIfTrue="1" operator="equal">
      <formula>"new"</formula>
    </cfRule>
  </conditionalFormatting>
  <conditionalFormatting sqref="J64">
    <cfRule type="containsText" dxfId="2" priority="88" operator="between" text="ERROR, To Many VM Configured, Max is FOUR">
      <formula>NOT(ISERROR(SEARCH("ERROR, To Many VM Configured, Max is FOUR",J64)))</formula>
    </cfRule>
  </conditionalFormatting>
  <conditionalFormatting sqref="J65">
    <cfRule type="containsText" dxfId="2" priority="17" operator="between" text="Error-Choose only VM or Physical">
      <formula>NOT(ISERROR(SEARCH("Error-Choose only VM or Physical",J65)))</formula>
    </cfRule>
  </conditionalFormatting>
  <conditionalFormatting sqref="J72">
    <cfRule type="containsText" dxfId="3" priority="92" operator="between" text="Error,Only Choose 1">
      <formula>NOT(ISERROR(SEARCH("Error,Only Choose 1",J72)))</formula>
    </cfRule>
    <cfRule type="containsText" dxfId="4" priority="93" operator="between" text="Error,Only Choose 1">
      <formula>NOT(ISERROR(SEARCH("Error,Only Choose 1",J72)))</formula>
    </cfRule>
  </conditionalFormatting>
  <conditionalFormatting sqref="J74">
    <cfRule type="containsText" dxfId="5" priority="91" operator="between" text="Error,Only Choose 1">
      <formula>NOT(ISERROR(SEARCH("Error,Only Choose 1",J74)))</formula>
    </cfRule>
  </conditionalFormatting>
  <conditionalFormatting sqref="G87">
    <cfRule type="containsText" dxfId="2" priority="87" operator="between" text="5">
      <formula>NOT(ISERROR(SEARCH("5",G87)))</formula>
    </cfRule>
  </conditionalFormatting>
  <conditionalFormatting sqref="G92:H92">
    <cfRule type="cellIs" dxfId="1" priority="26" stopIfTrue="1" operator="equal">
      <formula>"old"</formula>
    </cfRule>
    <cfRule type="cellIs" dxfId="0" priority="25" stopIfTrue="1" operator="equal">
      <formula>"new"</formula>
    </cfRule>
  </conditionalFormatting>
  <conditionalFormatting sqref="G101:H101">
    <cfRule type="cellIs" dxfId="0" priority="109" stopIfTrue="1" operator="equal">
      <formula>"new"</formula>
    </cfRule>
  </conditionalFormatting>
  <conditionalFormatting sqref="I101">
    <cfRule type="cellIs" dxfId="0" priority="110" stopIfTrue="1" operator="equal">
      <formula>"new"</formula>
    </cfRule>
  </conditionalFormatting>
  <conditionalFormatting sqref="G102:H102">
    <cfRule type="cellIs" dxfId="0" priority="68" stopIfTrue="1" operator="equal">
      <formula>"new"</formula>
    </cfRule>
  </conditionalFormatting>
  <conditionalFormatting sqref="G103:H103">
    <cfRule type="cellIs" dxfId="0" priority="24" stopIfTrue="1" operator="equal">
      <formula>"new"</formula>
    </cfRule>
  </conditionalFormatting>
  <conditionalFormatting sqref="H105">
    <cfRule type="cellIs" dxfId="1" priority="23" stopIfTrue="1" operator="equal">
      <formula>"old"</formula>
    </cfRule>
    <cfRule type="cellIs" dxfId="0" priority="22" stopIfTrue="1" operator="equal">
      <formula>"new"</formula>
    </cfRule>
  </conditionalFormatting>
  <conditionalFormatting sqref="I106">
    <cfRule type="cellIs" dxfId="0" priority="95" stopIfTrue="1" operator="equal">
      <formula>"new"</formula>
    </cfRule>
  </conditionalFormatting>
  <conditionalFormatting sqref="I107">
    <cfRule type="cellIs" dxfId="0" priority="108" stopIfTrue="1" operator="equal">
      <formula>"new"</formula>
    </cfRule>
  </conditionalFormatting>
  <conditionalFormatting sqref="H109">
    <cfRule type="cellIs" dxfId="1" priority="14" stopIfTrue="1" operator="equal">
      <formula>"old"</formula>
    </cfRule>
    <cfRule type="cellIs" dxfId="0" priority="13" stopIfTrue="1" operator="equal">
      <formula>"new"</formula>
    </cfRule>
  </conditionalFormatting>
  <conditionalFormatting sqref="I109">
    <cfRule type="cellIs" dxfId="0" priority="105" stopIfTrue="1" operator="equal">
      <formula>"new"</formula>
    </cfRule>
  </conditionalFormatting>
  <conditionalFormatting sqref="I110">
    <cfRule type="cellIs" dxfId="1" priority="74" stopIfTrue="1" operator="equal">
      <formula>"old"</formula>
    </cfRule>
    <cfRule type="cellIs" dxfId="0" priority="73" stopIfTrue="1" operator="equal">
      <formula>"new"</formula>
    </cfRule>
  </conditionalFormatting>
  <conditionalFormatting sqref="G111">
    <cfRule type="cellIs" dxfId="1" priority="72" stopIfTrue="1" operator="equal">
      <formula>"old"</formula>
    </cfRule>
    <cfRule type="cellIs" dxfId="0" priority="71" stopIfTrue="1" operator="equal">
      <formula>"new"</formula>
    </cfRule>
  </conditionalFormatting>
  <conditionalFormatting sqref="H111:I111">
    <cfRule type="cellIs" dxfId="0" priority="70" stopIfTrue="1" operator="equal">
      <formula>"new"</formula>
    </cfRule>
  </conditionalFormatting>
  <conditionalFormatting sqref="I113">
    <cfRule type="cellIs" dxfId="1" priority="82" stopIfTrue="1" operator="equal">
      <formula>"old"</formula>
    </cfRule>
    <cfRule type="cellIs" dxfId="0" priority="81" stopIfTrue="1" operator="equal">
      <formula>"new"</formula>
    </cfRule>
  </conditionalFormatting>
  <conditionalFormatting sqref="G114">
    <cfRule type="cellIs" dxfId="1" priority="77" stopIfTrue="1" operator="equal">
      <formula>"old"</formula>
    </cfRule>
    <cfRule type="cellIs" dxfId="0" priority="76" stopIfTrue="1" operator="equal">
      <formula>"new"</formula>
    </cfRule>
  </conditionalFormatting>
  <conditionalFormatting sqref="H114:I114">
    <cfRule type="cellIs" dxfId="0" priority="75" stopIfTrue="1" operator="equal">
      <formula>"new"</formula>
    </cfRule>
  </conditionalFormatting>
  <conditionalFormatting sqref="G117">
    <cfRule type="cellIs" dxfId="1" priority="80" stopIfTrue="1" operator="equal">
      <formula>"old"</formula>
    </cfRule>
    <cfRule type="cellIs" dxfId="0" priority="79" stopIfTrue="1" operator="equal">
      <formula>"new"</formula>
    </cfRule>
  </conditionalFormatting>
  <conditionalFormatting sqref="H117:I117">
    <cfRule type="cellIs" dxfId="0" priority="78" stopIfTrue="1" operator="equal">
      <formula>"new"</formula>
    </cfRule>
  </conditionalFormatting>
  <conditionalFormatting sqref="G122:H122">
    <cfRule type="cellIs" dxfId="0" priority="107" stopIfTrue="1" operator="equal">
      <formula>"new"</formula>
    </cfRule>
  </conditionalFormatting>
  <conditionalFormatting sqref="G130:H130">
    <cfRule type="cellIs" dxfId="1" priority="21" stopIfTrue="1" operator="equal">
      <formula>"old"</formula>
    </cfRule>
    <cfRule type="cellIs" dxfId="0" priority="20" stopIfTrue="1" operator="equal">
      <formula>"new"</formula>
    </cfRule>
  </conditionalFormatting>
  <conditionalFormatting sqref="J130">
    <cfRule type="cellIs" dxfId="1" priority="180" stopIfTrue="1" operator="equal">
      <formula>"old"</formula>
    </cfRule>
    <cfRule type="cellIs" dxfId="0" priority="179" stopIfTrue="1" operator="equal">
      <formula>"new"</formula>
    </cfRule>
    <cfRule type="cellIs" dxfId="0" priority="178" stopIfTrue="1" operator="equal">
      <formula>"new"</formula>
    </cfRule>
  </conditionalFormatting>
  <conditionalFormatting sqref="G133:H133">
    <cfRule type="cellIs" dxfId="0" priority="59" stopIfTrue="1" operator="equal">
      <formula>"new"</formula>
    </cfRule>
  </conditionalFormatting>
  <conditionalFormatting sqref="G134:H134">
    <cfRule type="cellIs" dxfId="0" priority="18" stopIfTrue="1" operator="equal">
      <formula>"new"</formula>
    </cfRule>
  </conditionalFormatting>
  <conditionalFormatting sqref="G135:H135">
    <cfRule type="cellIs" dxfId="0" priority="19" stopIfTrue="1" operator="equal">
      <formula>"new"</formula>
    </cfRule>
  </conditionalFormatting>
  <conditionalFormatting sqref="H137">
    <cfRule type="cellIs" dxfId="1" priority="45" stopIfTrue="1" operator="equal">
      <formula>"old"</formula>
    </cfRule>
    <cfRule type="cellIs" dxfId="0" priority="44" stopIfTrue="1" operator="equal">
      <formula>"new"</formula>
    </cfRule>
  </conditionalFormatting>
  <conditionalFormatting sqref="I137">
    <cfRule type="cellIs" dxfId="0" priority="46" stopIfTrue="1" operator="equal">
      <formula>"new"</formula>
    </cfRule>
  </conditionalFormatting>
  <conditionalFormatting sqref="I138">
    <cfRule type="cellIs" dxfId="0" priority="94" stopIfTrue="1" operator="equal">
      <formula>"new"</formula>
    </cfRule>
  </conditionalFormatting>
  <conditionalFormatting sqref="I139">
    <cfRule type="cellIs" dxfId="0" priority="149" stopIfTrue="1" operator="equal">
      <formula>"new"</formula>
    </cfRule>
  </conditionalFormatting>
  <conditionalFormatting sqref="G171">
    <cfRule type="cellIs" dxfId="1" priority="123" stopIfTrue="1" operator="equal">
      <formula>"old"</formula>
    </cfRule>
    <cfRule type="cellIs" dxfId="0" priority="122" stopIfTrue="1" operator="equal">
      <formula>"new"</formula>
    </cfRule>
  </conditionalFormatting>
  <conditionalFormatting sqref="H171">
    <cfRule type="cellIs" dxfId="1" priority="121" stopIfTrue="1" operator="equal">
      <formula>"old"</formula>
    </cfRule>
    <cfRule type="cellIs" dxfId="0" priority="120" stopIfTrue="1" operator="equal">
      <formula>"new"</formula>
    </cfRule>
  </conditionalFormatting>
  <conditionalFormatting sqref="G172:H172">
    <cfRule type="cellIs" dxfId="1" priority="139" stopIfTrue="1" operator="equal">
      <formula>"old"</formula>
    </cfRule>
    <cfRule type="cellIs" dxfId="0" priority="138" stopIfTrue="1" operator="equal">
      <formula>"new"</formula>
    </cfRule>
  </conditionalFormatting>
  <conditionalFormatting sqref="J179">
    <cfRule type="cellIs" dxfId="1" priority="118" stopIfTrue="1" operator="equal">
      <formula>"old"</formula>
    </cfRule>
    <cfRule type="cellIs" dxfId="0" priority="117" stopIfTrue="1" operator="equal">
      <formula>"new"</formula>
    </cfRule>
    <cfRule type="cellIs" dxfId="0" priority="116" stopIfTrue="1" operator="equal">
      <formula>"new"</formula>
    </cfRule>
    <cfRule type="cellIs" dxfId="1" priority="115" stopIfTrue="1" operator="equal">
      <formula>"old"</formula>
    </cfRule>
    <cfRule type="cellIs" dxfId="0" priority="114" stopIfTrue="1" operator="equal">
      <formula>"new"</formula>
    </cfRule>
    <cfRule type="cellIs" dxfId="0" priority="113" stopIfTrue="1" operator="equal">
      <formula>"new"</formula>
    </cfRule>
  </conditionalFormatting>
  <conditionalFormatting sqref="G180:H180">
    <cfRule type="cellIs" dxfId="1" priority="141" stopIfTrue="1" operator="equal">
      <formula>"old"</formula>
    </cfRule>
    <cfRule type="cellIs" dxfId="0" priority="140" stopIfTrue="1" operator="equal">
      <formula>"new"</formula>
    </cfRule>
  </conditionalFormatting>
  <conditionalFormatting sqref="I180">
    <cfRule type="cellIs" dxfId="0" priority="145" stopIfTrue="1" operator="equal">
      <formula>"new"</formula>
    </cfRule>
  </conditionalFormatting>
  <conditionalFormatting sqref="J180">
    <cfRule type="cellIs" dxfId="1" priority="137" stopIfTrue="1" operator="equal">
      <formula>"old"</formula>
    </cfRule>
    <cfRule type="cellIs" dxfId="0" priority="136" stopIfTrue="1" operator="equal">
      <formula>"new"</formula>
    </cfRule>
    <cfRule type="cellIs" dxfId="0" priority="135" stopIfTrue="1" operator="equal">
      <formula>"new"</formula>
    </cfRule>
    <cfRule type="cellIs" dxfId="1" priority="134" stopIfTrue="1" operator="equal">
      <formula>"old"</formula>
    </cfRule>
    <cfRule type="cellIs" dxfId="0" priority="133" stopIfTrue="1" operator="equal">
      <formula>"new"</formula>
    </cfRule>
    <cfRule type="cellIs" dxfId="0" priority="132" stopIfTrue="1" operator="equal">
      <formula>"new"</formula>
    </cfRule>
  </conditionalFormatting>
  <conditionalFormatting sqref="H188">
    <cfRule type="cellIs" dxfId="1" priority="12" stopIfTrue="1" operator="equal">
      <formula>"old"</formula>
    </cfRule>
    <cfRule type="cellIs" dxfId="0" priority="11" stopIfTrue="1" operator="equal">
      <formula>"new"</formula>
    </cfRule>
  </conditionalFormatting>
  <conditionalFormatting sqref="G206:H206">
    <cfRule type="cellIs" dxfId="0" priority="40" stopIfTrue="1" operator="equal">
      <formula>"new"</formula>
    </cfRule>
  </conditionalFormatting>
  <conditionalFormatting sqref="I216">
    <cfRule type="cellIs" dxfId="0" priority="35" stopIfTrue="1" operator="equal">
      <formula>"new"</formula>
    </cfRule>
  </conditionalFormatting>
  <conditionalFormatting sqref="H219">
    <cfRule type="cellIs" dxfId="1" priority="10" stopIfTrue="1" operator="equal">
      <formula>"old"</formula>
    </cfRule>
    <cfRule type="cellIs" dxfId="0" priority="9" stopIfTrue="1" operator="equal">
      <formula>"new"</formula>
    </cfRule>
  </conditionalFormatting>
  <conditionalFormatting sqref="G241:H241">
    <cfRule type="cellIs" dxfId="0" priority="34" stopIfTrue="1" operator="equal">
      <formula>"new"</formula>
    </cfRule>
  </conditionalFormatting>
  <conditionalFormatting sqref="G251:H251">
    <cfRule type="cellIs" dxfId="0" priority="33" stopIfTrue="1" operator="equal">
      <formula>"new"</formula>
    </cfRule>
  </conditionalFormatting>
  <conditionalFormatting sqref="G260:H260">
    <cfRule type="cellIs" dxfId="0" priority="176" stopIfTrue="1" operator="equal">
      <formula>"new"</formula>
    </cfRule>
  </conditionalFormatting>
  <conditionalFormatting sqref="H265">
    <cfRule type="cellIs" dxfId="1" priority="173" stopIfTrue="1" operator="equal">
      <formula>"old"</formula>
    </cfRule>
    <cfRule type="cellIs" dxfId="0" priority="172" stopIfTrue="1" operator="equal">
      <formula>"new"</formula>
    </cfRule>
  </conditionalFormatting>
  <conditionalFormatting sqref="I267">
    <cfRule type="cellIs" dxfId="0" priority="171" stopIfTrue="1" operator="equal">
      <formula>"new"</formula>
    </cfRule>
  </conditionalFormatting>
  <conditionalFormatting sqref="H270">
    <cfRule type="cellIs" dxfId="1" priority="100" stopIfTrue="1" operator="equal">
      <formula>"old"</formula>
    </cfRule>
    <cfRule type="cellIs" dxfId="0" priority="99" stopIfTrue="1" operator="equal">
      <formula>"new"</formula>
    </cfRule>
  </conditionalFormatting>
  <conditionalFormatting sqref="I270">
    <cfRule type="cellIs" dxfId="0" priority="101" stopIfTrue="1" operator="equal">
      <formula>"new"</formula>
    </cfRule>
  </conditionalFormatting>
  <conditionalFormatting sqref="G271">
    <cfRule type="cellIs" dxfId="1" priority="98" stopIfTrue="1" operator="equal">
      <formula>"old"</formula>
    </cfRule>
    <cfRule type="cellIs" dxfId="0" priority="97" stopIfTrue="1" operator="equal">
      <formula>"new"</formula>
    </cfRule>
  </conditionalFormatting>
  <conditionalFormatting sqref="H271:I271">
    <cfRule type="cellIs" dxfId="0" priority="96" stopIfTrue="1" operator="equal">
      <formula>"new"</formula>
    </cfRule>
  </conditionalFormatting>
  <conditionalFormatting sqref="I272">
    <cfRule type="cellIs" dxfId="1" priority="85" stopIfTrue="1" operator="equal">
      <formula>"old"</formula>
    </cfRule>
    <cfRule type="cellIs" dxfId="0" priority="84" stopIfTrue="1" operator="equal">
      <formula>"new"</formula>
    </cfRule>
  </conditionalFormatting>
  <conditionalFormatting sqref="J272">
    <cfRule type="cellIs" dxfId="0" priority="83" stopIfTrue="1" operator="equal">
      <formula>"new"</formula>
    </cfRule>
  </conditionalFormatting>
  <conditionalFormatting sqref="H313">
    <cfRule type="cellIs" dxfId="0" priority="1" stopIfTrue="1" operator="equal">
      <formula>"new"</formula>
    </cfRule>
  </conditionalFormatting>
  <conditionalFormatting sqref="H314">
    <cfRule type="cellIs" dxfId="0" priority="4" stopIfTrue="1" operator="equal">
      <formula>"new"</formula>
    </cfRule>
  </conditionalFormatting>
  <conditionalFormatting sqref="H316">
    <cfRule type="cellIs" dxfId="0" priority="3" stopIfTrue="1" operator="equal">
      <formula>"new"</formula>
    </cfRule>
  </conditionalFormatting>
  <conditionalFormatting sqref="J316">
    <cfRule type="cellIs" dxfId="0" priority="2" stopIfTrue="1" operator="equal">
      <formula>"new"</formula>
    </cfRule>
  </conditionalFormatting>
  <conditionalFormatting sqref="I317">
    <cfRule type="cellIs" dxfId="0" priority="5" stopIfTrue="1" operator="equal">
      <formula>"new"</formula>
    </cfRule>
  </conditionalFormatting>
  <conditionalFormatting sqref="G318">
    <cfRule type="cellIs" dxfId="1" priority="8" stopIfTrue="1" operator="equal">
      <formula>"old"</formula>
    </cfRule>
    <cfRule type="cellIs" dxfId="0" priority="7" stopIfTrue="1" operator="equal">
      <formula>"new"</formula>
    </cfRule>
  </conditionalFormatting>
  <conditionalFormatting sqref="G120:G121">
    <cfRule type="cellIs" dxfId="1" priority="49" stopIfTrue="1" operator="equal">
      <formula>"old"</formula>
    </cfRule>
    <cfRule type="cellIs" dxfId="0" priority="48" stopIfTrue="1" operator="equal">
      <formula>"new"</formula>
    </cfRule>
  </conditionalFormatting>
  <conditionalFormatting sqref="G190:G191">
    <cfRule type="cellIs" dxfId="1" priority="104" stopIfTrue="1" operator="equal">
      <formula>"old"</formula>
    </cfRule>
    <cfRule type="cellIs" dxfId="0" priority="103" stopIfTrue="1" operator="equal">
      <formula>"new"</formula>
    </cfRule>
  </conditionalFormatting>
  <conditionalFormatting sqref="G193:G194">
    <cfRule type="cellIs" dxfId="1" priority="55" stopIfTrue="1" operator="equal">
      <formula>"old"</formula>
    </cfRule>
    <cfRule type="cellIs" dxfId="0" priority="54" stopIfTrue="1" operator="equal">
      <formula>"new"</formula>
    </cfRule>
  </conditionalFormatting>
  <conditionalFormatting sqref="G196:G197">
    <cfRule type="cellIs" dxfId="1" priority="29" stopIfTrue="1" operator="equal">
      <formula>"old"</formula>
    </cfRule>
    <cfRule type="cellIs" dxfId="0" priority="28" stopIfTrue="1" operator="equal">
      <formula>"new"</formula>
    </cfRule>
  </conditionalFormatting>
  <conditionalFormatting sqref="H141:H142">
    <cfRule type="cellIs" dxfId="1" priority="170" stopIfTrue="1" operator="equal">
      <formula>"old"</formula>
    </cfRule>
    <cfRule type="cellIs" dxfId="0" priority="169" stopIfTrue="1" operator="equal">
      <formula>"new"</formula>
    </cfRule>
  </conditionalFormatting>
  <conditionalFormatting sqref="H213:H214">
    <cfRule type="cellIs" dxfId="1" priority="37" stopIfTrue="1" operator="equal">
      <formula>"old"</formula>
    </cfRule>
    <cfRule type="cellIs" dxfId="0" priority="36" stopIfTrue="1" operator="equal">
      <formula>"new"</formula>
    </cfRule>
  </conditionalFormatting>
  <conditionalFormatting sqref="H221:H222">
    <cfRule type="cellIs" dxfId="1" priority="42" stopIfTrue="1" operator="equal">
      <formula>"old"</formula>
    </cfRule>
    <cfRule type="cellIs" dxfId="0" priority="41" stopIfTrue="1" operator="equal">
      <formula>"new"</formula>
    </cfRule>
  </conditionalFormatting>
  <conditionalFormatting sqref="I43:I45">
    <cfRule type="cellIs" dxfId="0" priority="152" stopIfTrue="1" operator="equal">
      <formula>"new"</formula>
    </cfRule>
  </conditionalFormatting>
  <conditionalFormatting sqref="I102:I103">
    <cfRule type="cellIs" dxfId="0" priority="69" stopIfTrue="1" operator="equal">
      <formula>"new"</formula>
    </cfRule>
  </conditionalFormatting>
  <conditionalFormatting sqref="I119:I121">
    <cfRule type="cellIs" dxfId="1" priority="52" stopIfTrue="1" operator="equal">
      <formula>"old"</formula>
    </cfRule>
    <cfRule type="cellIs" dxfId="0" priority="51" stopIfTrue="1" operator="equal">
      <formula>"new"</formula>
    </cfRule>
  </conditionalFormatting>
  <conditionalFormatting sqref="I133:I135">
    <cfRule type="cellIs" dxfId="0" priority="60" stopIfTrue="1" operator="equal">
      <formula>"new"</formula>
    </cfRule>
  </conditionalFormatting>
  <conditionalFormatting sqref="I141:I142">
    <cfRule type="cellIs" dxfId="0" priority="181" stopIfTrue="1" operator="equal">
      <formula>"new"</formula>
    </cfRule>
  </conditionalFormatting>
  <conditionalFormatting sqref="I181:I183">
    <cfRule type="cellIs" dxfId="0" priority="131" stopIfTrue="1" operator="equal">
      <formula>"new"</formula>
    </cfRule>
  </conditionalFormatting>
  <conditionalFormatting sqref="I184:I186">
    <cfRule type="cellIs" dxfId="0" priority="124" stopIfTrue="1" operator="equal">
      <formula>"new"</formula>
    </cfRule>
  </conditionalFormatting>
  <conditionalFormatting sqref="J96:J97">
    <cfRule type="cellIs" dxfId="1" priority="63" stopIfTrue="1" operator="equal">
      <formula>"old"</formula>
    </cfRule>
    <cfRule type="cellIs" dxfId="0" priority="62" stopIfTrue="1" operator="equal">
      <formula>"new"</formula>
    </cfRule>
    <cfRule type="cellIs" dxfId="0" priority="61" stopIfTrue="1" operator="equal">
      <formula>"new"</formula>
    </cfRule>
  </conditionalFormatting>
  <conditionalFormatting sqref="J120:J121">
    <cfRule type="cellIs" dxfId="0" priority="50" stopIfTrue="1" operator="equal">
      <formula>"new"</formula>
    </cfRule>
  </conditionalFormatting>
  <conditionalFormatting sqref="J163:J165">
    <cfRule type="containsText" dxfId="2" priority="86" operator="between" text="Error-Choose only VM or Physical">
      <formula>NOT(ISERROR(SEARCH("Error-Choose only VM or Physical",J163)))</formula>
    </cfRule>
  </conditionalFormatting>
  <conditionalFormatting sqref="J174:J175">
    <cfRule type="cellIs" dxfId="1" priority="144" stopIfTrue="1" operator="equal">
      <formula>"old"</formula>
    </cfRule>
    <cfRule type="cellIs" dxfId="0" priority="143" stopIfTrue="1" operator="equal">
      <formula>"new"</formula>
    </cfRule>
    <cfRule type="cellIs" dxfId="0" priority="142" stopIfTrue="1" operator="equal">
      <formula>"new"</formula>
    </cfRule>
  </conditionalFormatting>
  <conditionalFormatting sqref="J181:J183">
    <cfRule type="cellIs" dxfId="1" priority="130" stopIfTrue="1" operator="equal">
      <formula>"old"</formula>
    </cfRule>
    <cfRule type="cellIs" dxfId="0" priority="129" stopIfTrue="1" operator="equal">
      <formula>"new"</formula>
    </cfRule>
    <cfRule type="cellIs" dxfId="0" priority="128" stopIfTrue="1" operator="equal">
      <formula>"new"</formula>
    </cfRule>
    <cfRule type="cellIs" dxfId="1" priority="127" stopIfTrue="1" operator="equal">
      <formula>"old"</formula>
    </cfRule>
    <cfRule type="cellIs" dxfId="0" priority="126" stopIfTrue="1" operator="equal">
      <formula>"new"</formula>
    </cfRule>
    <cfRule type="cellIs" dxfId="0" priority="125" stopIfTrue="1" operator="equal">
      <formula>"new"</formula>
    </cfRule>
  </conditionalFormatting>
  <conditionalFormatting sqref="J184:J186">
    <cfRule type="cellIs" dxfId="1" priority="148" stopIfTrue="1" operator="equal">
      <formula>"old"</formula>
    </cfRule>
    <cfRule type="cellIs" dxfId="0" priority="147" stopIfTrue="1" operator="equal">
      <formula>"new"</formula>
    </cfRule>
    <cfRule type="cellIs" dxfId="0" priority="146" stopIfTrue="1" operator="equal">
      <formula>"new"</formula>
    </cfRule>
  </conditionalFormatting>
  <conditionalFormatting sqref="J193:J194">
    <cfRule type="cellIs" dxfId="0" priority="56" stopIfTrue="1" operator="equal">
      <formula>"new"</formula>
    </cfRule>
  </conditionalFormatting>
  <conditionalFormatting sqref="J196:J197">
    <cfRule type="cellIs" dxfId="0" priority="30" stopIfTrue="1" operator="equal">
      <formula>"new"</formula>
    </cfRule>
  </conditionalFormatting>
  <conditionalFormatting sqref="G11:H11 G13:H14">
    <cfRule type="cellIs" dxfId="1" priority="161" stopIfTrue="1" operator="equal">
      <formula>"old"</formula>
    </cfRule>
    <cfRule type="cellIs" dxfId="0" priority="160" stopIfTrue="1" operator="equal">
      <formula>"new"</formula>
    </cfRule>
  </conditionalFormatting>
  <conditionalFormatting sqref="G12:H12 G16:H17">
    <cfRule type="cellIs" dxfId="1" priority="166" stopIfTrue="1" operator="equal">
      <formula>"old"</formula>
    </cfRule>
    <cfRule type="cellIs" dxfId="0" priority="165" stopIfTrue="1" operator="equal">
      <formula>"new"</formula>
    </cfRule>
  </conditionalFormatting>
  <conditionalFormatting sqref="G143:H143 J132 I26 I124 J111:J112 J114:J115 J136 I30:I32 I105 I47 J39 J97 I188 J190:J191 J117:J118">
    <cfRule type="cellIs" dxfId="0" priority="182" stopIfTrue="1" operator="equal">
      <formula>"new"</formula>
    </cfRule>
  </conditionalFormatting>
  <conditionalFormatting sqref="G37:H38">
    <cfRule type="cellIs" dxfId="1" priority="155" stopIfTrue="1" operator="equal">
      <formula>"old"</formula>
    </cfRule>
    <cfRule type="cellIs" dxfId="0" priority="154" stopIfTrue="1" operator="equal">
      <formula>"new"</formula>
    </cfRule>
  </conditionalFormatting>
  <conditionalFormatting sqref="J132 I112 I114:I118 I189 I191 J136 H47 J39 J97 G94:H95">
    <cfRule type="cellIs" dxfId="1" priority="184" stopIfTrue="1" operator="equal">
      <formula>"old"</formula>
    </cfRule>
    <cfRule type="cellIs" dxfId="0" priority="183" stopIfTrue="1" operator="equal">
      <formula>"new"</formula>
    </cfRule>
  </conditionalFormatting>
  <conditionalFormatting sqref="G40:H41">
    <cfRule type="cellIs" dxfId="1" priority="159" stopIfTrue="1" operator="equal">
      <formula>"old"</formula>
    </cfRule>
    <cfRule type="cellIs" dxfId="0" priority="158" stopIfTrue="1" operator="equal">
      <formula>"new"</formula>
    </cfRule>
  </conditionalFormatting>
  <conditionalFormatting sqref="G43:H45">
    <cfRule type="cellIs" dxfId="0" priority="151" stopIfTrue="1" operator="equal">
      <formula>"new"</formula>
    </cfRule>
  </conditionalFormatting>
  <conditionalFormatting sqref="J66:J71 J75:J85 J73">
    <cfRule type="containsText" dxfId="2" priority="90" operator="between" text="Error-Choose only VM or Physical">
      <formula>NOT(ISERROR(SEARCH("Error-Choose only VM or Physical",J66)))</formula>
    </cfRule>
  </conditionalFormatting>
  <conditionalFormatting sqref="G98:H99">
    <cfRule type="cellIs" dxfId="1" priority="112" stopIfTrue="1" operator="equal">
      <formula>"old"</formula>
    </cfRule>
    <cfRule type="cellIs" dxfId="0" priority="111" stopIfTrue="1" operator="equal">
      <formula>"new"</formula>
    </cfRule>
  </conditionalFormatting>
  <conditionalFormatting sqref="H120:I121">
    <cfRule type="cellIs" dxfId="0" priority="47" stopIfTrue="1" operator="equal">
      <formula>"new"</formula>
    </cfRule>
  </conditionalFormatting>
  <conditionalFormatting sqref="J152 J154">
    <cfRule type="containsText" dxfId="2" priority="89" operator="between" text="Error,Only Choose 1">
      <formula>NOT(ISERROR(SEARCH("Error,Only Choose 1",J152)))</formula>
    </cfRule>
  </conditionalFormatting>
  <conditionalFormatting sqref="H190:I191">
    <cfRule type="cellIs" dxfId="0" priority="102" stopIfTrue="1" operator="equal">
      <formula>"new"</formula>
    </cfRule>
  </conditionalFormatting>
  <conditionalFormatting sqref="I192 I194">
    <cfRule type="cellIs" dxfId="1" priority="58" stopIfTrue="1" operator="equal">
      <formula>"old"</formula>
    </cfRule>
    <cfRule type="cellIs" dxfId="0" priority="57" stopIfTrue="1" operator="equal">
      <formula>"new"</formula>
    </cfRule>
  </conditionalFormatting>
  <conditionalFormatting sqref="H193:I194">
    <cfRule type="cellIs" dxfId="0" priority="53" stopIfTrue="1" operator="equal">
      <formula>"new"</formula>
    </cfRule>
  </conditionalFormatting>
  <conditionalFormatting sqref="I195 I197">
    <cfRule type="cellIs" dxfId="1" priority="32" stopIfTrue="1" operator="equal">
      <formula>"old"</formula>
    </cfRule>
    <cfRule type="cellIs" dxfId="0" priority="31" stopIfTrue="1" operator="equal">
      <formula>"new"</formula>
    </cfRule>
  </conditionalFormatting>
  <conditionalFormatting sqref="H196:I197">
    <cfRule type="cellIs" dxfId="0" priority="27" stopIfTrue="1" operator="equal">
      <formula>"new"</formula>
    </cfRule>
  </conditionalFormatting>
  <conditionalFormatting sqref="G207:H210">
    <cfRule type="cellIs" dxfId="1" priority="39" stopIfTrue="1" operator="equal">
      <formula>"old"</formula>
    </cfRule>
    <cfRule type="cellIs" dxfId="0" priority="38" stopIfTrue="1" operator="equal">
      <formula>"new"</formula>
    </cfRule>
  </conditionalFormatting>
  <conditionalFormatting sqref="I219 I221:I222">
    <cfRule type="cellIs" dxfId="0" priority="43" stopIfTrue="1" operator="equal">
      <formula>"new"</formula>
    </cfRule>
  </conditionalFormatting>
  <conditionalFormatting sqref="G261:H263">
    <cfRule type="cellIs" dxfId="1" priority="175" stopIfTrue="1" operator="equal">
      <formula>"old"</formula>
    </cfRule>
    <cfRule type="cellIs" dxfId="0" priority="174" stopIfTrue="1" operator="equal">
      <formula>"new"</formula>
    </cfRule>
  </conditionalFormatting>
  <conditionalFormatting sqref="H318 J318">
    <cfRule type="cellIs" dxfId="0" priority="6" stopIfTrue="1" operator="equal">
      <formula>"new"</formula>
    </cfRule>
  </conditionalFormatting>
  <dataValidations count="16">
    <dataValidation type="list" allowBlank="1" showInputMessage="1" showErrorMessage="1" sqref="H6 H62">
      <formula1>[1]Hide!#REF!</formula1>
    </dataValidation>
    <dataValidation type="list" allowBlank="1" showInputMessage="1" showErrorMessage="1" sqref="G86 G152 G154 G160:G161">
      <formula1>"0"</formula1>
    </dataValidation>
    <dataValidation type="list" allowBlank="1" showInputMessage="1" showErrorMessage="1" sqref="G73 G65:G67 G69:G71 G75:G79 G83:G85 I68:I85">
      <formula1>"0,1"</formula1>
    </dataValidation>
    <dataValidation type="list" allowBlank="1" showInputMessage="1" showErrorMessage="1" errorTitle="Duplicate selection" error="Duplicate selection" sqref="I66">
      <formula1>"0,1"</formula1>
    </dataValidation>
    <dataValidation type="list" allowBlank="1" showInputMessage="1" showErrorMessage="1" sqref="J128">
      <formula1>$I$68</formula1>
    </dataValidation>
    <dataValidation type="list" allowBlank="1" showInputMessage="1" showErrorMessage="1" sqref="I151">
      <formula1>$I$71</formula1>
    </dataValidation>
    <dataValidation type="list" allowBlank="1" showInputMessage="1" showErrorMessage="1" sqref="I149">
      <formula1>$I$69</formula1>
    </dataValidation>
    <dataValidation type="list" allowBlank="1" showInputMessage="1" showErrorMessage="1" sqref="I153">
      <formula1>$I$73</formula1>
    </dataValidation>
    <dataValidation type="list" allowBlank="1" showInputMessage="1" showErrorMessage="1" sqref="I150">
      <formula1>$I$70</formula1>
    </dataValidation>
    <dataValidation type="list" allowBlank="1" showInputMessage="1" showErrorMessage="1" sqref="I152">
      <formula1>$I$72</formula1>
    </dataValidation>
    <dataValidation type="list" allowBlank="1" showInputMessage="1" showErrorMessage="1" sqref="I154">
      <formula1>$I$74</formula1>
    </dataValidation>
    <dataValidation type="list" allowBlank="1" showInputMessage="1" showErrorMessage="1" sqref="I155">
      <formula1>$I$75</formula1>
    </dataValidation>
    <dataValidation type="list" allowBlank="1" showInputMessage="1" showErrorMessage="1" sqref="I157">
      <formula1>$I$77</formula1>
    </dataValidation>
    <dataValidation type="list" allowBlank="1" showErrorMessage="1" errorTitle="Error" error="Error In Masrter Selection" prompt="&#10;" sqref="I159">
      <formula1>$I$79</formula1>
    </dataValidation>
    <dataValidation type="list" allowBlank="1" showInputMessage="1" showErrorMessage="1" sqref="I160" showDropDown="1">
      <formula1>$I$80</formula1>
    </dataValidation>
    <dataValidation type="list" allowBlank="1" showInputMessage="1" showErrorMessage="1" sqref="I161:I165" showDropDown="1">
      <formula1>$I$81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G30" sqref="G30"/>
    </sheetView>
  </sheetViews>
  <sheetFormatPr defaultColWidth="11.1081081081081" defaultRowHeight="15" outlineLevelCol="2"/>
  <cols>
    <col min="1" max="1" width="36.4774774774775" style="1" customWidth="1"/>
    <col min="2" max="2" width="28.1081081081081" style="1" customWidth="1"/>
    <col min="3" max="3" width="22.7567567567568" style="1" customWidth="1"/>
    <col min="4" max="16384" width="10.963963963964" style="1"/>
  </cols>
  <sheetData>
    <row r="1" s="1" customFormat="1" ht="15.4" spans="1:3">
      <c r="A1" s="2" t="s">
        <v>413</v>
      </c>
      <c r="B1" s="2"/>
      <c r="C1" s="2"/>
    </row>
    <row r="2" s="1" customFormat="1" ht="15.4" spans="1:3">
      <c r="A2" s="2"/>
      <c r="B2" s="2"/>
      <c r="C2" s="2"/>
    </row>
    <row r="3" s="1" customFormat="1" ht="15.4" spans="1:3">
      <c r="A3" s="3" t="s">
        <v>414</v>
      </c>
      <c r="B3" s="3" t="s">
        <v>415</v>
      </c>
      <c r="C3" s="4" t="s">
        <v>416</v>
      </c>
    </row>
    <row r="4" s="1" customFormat="1" spans="1:3">
      <c r="A4" s="5" t="s">
        <v>417</v>
      </c>
      <c r="B4" s="5" t="s">
        <v>418</v>
      </c>
      <c r="C4" s="6" t="s">
        <v>419</v>
      </c>
    </row>
    <row r="5" s="1" customFormat="1" spans="1:3">
      <c r="A5" s="7" t="s">
        <v>420</v>
      </c>
      <c r="B5" s="7"/>
      <c r="C5" s="8" t="s">
        <v>421</v>
      </c>
    </row>
    <row r="6" s="1" customFormat="1" spans="1:3">
      <c r="A6" s="7" t="s">
        <v>422</v>
      </c>
      <c r="B6" s="7"/>
      <c r="C6" s="8" t="s">
        <v>421</v>
      </c>
    </row>
    <row r="7" s="1" customFormat="1" ht="28.3" spans="1:3">
      <c r="A7" s="7" t="s">
        <v>423</v>
      </c>
      <c r="B7" s="7" t="s">
        <v>424</v>
      </c>
      <c r="C7" s="8" t="s">
        <v>421</v>
      </c>
    </row>
    <row r="8" s="1" customFormat="1" spans="1:3">
      <c r="A8" s="8" t="s">
        <v>425</v>
      </c>
      <c r="B8" s="8"/>
      <c r="C8" s="8" t="s">
        <v>421</v>
      </c>
    </row>
    <row r="9" s="1" customFormat="1" spans="1:3">
      <c r="A9" s="9" t="s">
        <v>426</v>
      </c>
      <c r="B9" s="9" t="s">
        <v>427</v>
      </c>
      <c r="C9" s="9" t="s">
        <v>428</v>
      </c>
    </row>
    <row r="10" s="1" customFormat="1" spans="1:3">
      <c r="A10" s="10" t="s">
        <v>429</v>
      </c>
      <c r="B10" s="10" t="s">
        <v>430</v>
      </c>
      <c r="C10" s="9" t="s">
        <v>428</v>
      </c>
    </row>
    <row r="11" s="1" customFormat="1" spans="1:3">
      <c r="A11" s="10" t="s">
        <v>431</v>
      </c>
      <c r="B11" s="10" t="s">
        <v>432</v>
      </c>
      <c r="C11" s="10" t="s">
        <v>428</v>
      </c>
    </row>
    <row r="12" s="1" customFormat="1" spans="1:3">
      <c r="A12" s="9" t="s">
        <v>433</v>
      </c>
      <c r="B12" s="9" t="s">
        <v>434</v>
      </c>
      <c r="C12" s="9" t="s">
        <v>435</v>
      </c>
    </row>
    <row r="13" s="1" customFormat="1" spans="1:3">
      <c r="A13" s="9" t="s">
        <v>399</v>
      </c>
      <c r="B13" s="9" t="s">
        <v>436</v>
      </c>
      <c r="C13" s="9" t="s">
        <v>437</v>
      </c>
    </row>
    <row r="14" s="1" customFormat="1" spans="1:3">
      <c r="A14" s="11" t="s">
        <v>423</v>
      </c>
      <c r="B14" s="11" t="s">
        <v>438</v>
      </c>
      <c r="C14" s="12" t="s">
        <v>439</v>
      </c>
    </row>
    <row r="15" s="1" customFormat="1" spans="1:3">
      <c r="A15" s="12" t="s">
        <v>440</v>
      </c>
      <c r="B15" s="12" t="s">
        <v>441</v>
      </c>
      <c r="C15" s="12" t="s">
        <v>439</v>
      </c>
    </row>
    <row r="16" s="1" customFormat="1" spans="1:3">
      <c r="A16" s="12" t="s">
        <v>442</v>
      </c>
      <c r="B16" s="12" t="s">
        <v>443</v>
      </c>
      <c r="C16" s="12" t="s">
        <v>439</v>
      </c>
    </row>
    <row r="17" s="1" customFormat="1" spans="1:3">
      <c r="A17" s="12" t="s">
        <v>444</v>
      </c>
      <c r="B17" s="12" t="s">
        <v>445</v>
      </c>
      <c r="C17" s="12" t="s">
        <v>439</v>
      </c>
    </row>
    <row r="18" s="1" customFormat="1" spans="1:3">
      <c r="A18" s="12" t="s">
        <v>446</v>
      </c>
      <c r="B18" s="12" t="s">
        <v>447</v>
      </c>
      <c r="C18" s="12" t="s">
        <v>439</v>
      </c>
    </row>
    <row r="19" s="1" customFormat="1" spans="1:3">
      <c r="A19" s="12" t="s">
        <v>448</v>
      </c>
      <c r="B19" s="12" t="s">
        <v>432</v>
      </c>
      <c r="C19" s="12" t="s">
        <v>439</v>
      </c>
    </row>
    <row r="20" s="1" customFormat="1" spans="1:3">
      <c r="A20" s="12" t="s">
        <v>449</v>
      </c>
      <c r="B20" s="12" t="s">
        <v>450</v>
      </c>
      <c r="C20" s="12" t="s">
        <v>439</v>
      </c>
    </row>
    <row r="21" s="1" customFormat="1" spans="1:3">
      <c r="A21" s="12" t="s">
        <v>451</v>
      </c>
      <c r="B21" s="12" t="s">
        <v>452</v>
      </c>
      <c r="C21" s="12" t="s">
        <v>439</v>
      </c>
    </row>
    <row r="22" s="1" customFormat="1" spans="1:3">
      <c r="A22" s="12" t="s">
        <v>453</v>
      </c>
      <c r="B22" s="12" t="s">
        <v>454</v>
      </c>
      <c r="C22" s="12" t="s">
        <v>439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 Details - HP Server</vt:lpstr>
      <vt:lpstr>Server Guidance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2022-08-10T09:13:00Z</dcterms:created>
  <dcterms:modified xsi:type="dcterms:W3CDTF">2022-08-10T09:35:38Z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F74F332D600F4F17B123BA8E54849E15</vt:lpwstr>
  </property>
  <property fmtid="{D5CDD505-2E9C-101B-9397-08002B2CF9AE}" pid="3" name="KSOProductBuildVer">
    <vt:lpwstr>2052-11.1.0.12302</vt:lpwstr>
  </property>
</Properties>
</file>